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yShop\Desktop\"/>
    </mc:Choice>
  </mc:AlternateContent>
  <bookViews>
    <workbookView xWindow="0" yWindow="0" windowWidth="28800" windowHeight="11430" tabRatio="478"/>
  </bookViews>
  <sheets>
    <sheet name="Form" sheetId="1" r:id="rId1"/>
    <sheet name="Modules" sheetId="2" r:id="rId2"/>
    <sheet name="Regulator" sheetId="3" r:id="rId3"/>
    <sheet name="Calculation table" sheetId="4" r:id="rId4"/>
    <sheet name="Version" sheetId="9" r:id="rId5"/>
    <sheet name="Language" sheetId="10" state="hidden" r:id="rId6"/>
  </sheets>
  <definedNames>
    <definedName name="_xlnm.Print_Area" localSheetId="0">Form!$A$1:$H$30</definedName>
  </definedNames>
  <calcPr calcId="162913" concurrentCalc="0"/>
</workbook>
</file>

<file path=xl/calcChain.xml><?xml version="1.0" encoding="utf-8"?>
<calcChain xmlns="http://schemas.openxmlformats.org/spreadsheetml/2006/main">
  <c r="A14" i="3" l="1"/>
  <c r="A15" i="3"/>
  <c r="A5" i="3"/>
  <c r="A40" i="2"/>
  <c r="A39" i="2"/>
  <c r="A38" i="2"/>
  <c r="A37" i="2"/>
  <c r="A35" i="2"/>
  <c r="A34" i="2"/>
  <c r="A33" i="2"/>
  <c r="A32" i="2"/>
  <c r="A31" i="2"/>
  <c r="B20" i="1"/>
  <c r="A10" i="2"/>
  <c r="A16" i="3"/>
  <c r="A17" i="3"/>
  <c r="F23" i="1"/>
  <c r="D19" i="4"/>
  <c r="D18" i="4"/>
  <c r="B46" i="4"/>
  <c r="B18" i="4"/>
  <c r="B35" i="4"/>
  <c r="E11" i="1"/>
  <c r="B4" i="4"/>
  <c r="A40" i="4"/>
  <c r="A41" i="4"/>
  <c r="A42" i="4"/>
  <c r="A43" i="4"/>
  <c r="B8" i="1"/>
  <c r="E8" i="1"/>
  <c r="A12" i="3"/>
  <c r="A13" i="3"/>
  <c r="G17" i="1"/>
  <c r="A9" i="3"/>
  <c r="A10" i="3"/>
  <c r="A11" i="3"/>
  <c r="A17" i="2"/>
  <c r="A20" i="2"/>
  <c r="A21" i="2"/>
  <c r="A22" i="2"/>
  <c r="A23" i="2"/>
  <c r="A24" i="2"/>
  <c r="A25" i="2"/>
  <c r="A26" i="2"/>
  <c r="A27" i="2"/>
  <c r="A28" i="2"/>
  <c r="A29" i="2"/>
  <c r="A4" i="2"/>
  <c r="A5" i="2"/>
  <c r="A6" i="2"/>
  <c r="A7" i="2"/>
  <c r="A8" i="2"/>
  <c r="A9" i="2"/>
  <c r="A11" i="2"/>
  <c r="A12" i="2"/>
  <c r="A13" i="2"/>
  <c r="A14" i="2"/>
  <c r="A15" i="2"/>
  <c r="A16" i="2"/>
  <c r="A18" i="2"/>
  <c r="A19" i="2"/>
  <c r="A3" i="2"/>
  <c r="H28" i="1"/>
  <c r="G28" i="1"/>
  <c r="A35" i="1"/>
  <c r="C40" i="2"/>
  <c r="C35" i="2"/>
  <c r="H32" i="1"/>
  <c r="A32" i="1"/>
  <c r="B18" i="1"/>
  <c r="F17" i="1"/>
  <c r="B17" i="1"/>
  <c r="B15" i="1"/>
  <c r="G36" i="1"/>
  <c r="G41" i="1"/>
  <c r="G40" i="1"/>
  <c r="G39" i="1"/>
  <c r="G38" i="1"/>
  <c r="G37" i="1"/>
  <c r="G35" i="1"/>
  <c r="B24" i="4"/>
  <c r="A8" i="3"/>
  <c r="A6" i="3"/>
  <c r="A7" i="3"/>
  <c r="F19" i="1"/>
  <c r="J15" i="1"/>
  <c r="J14" i="1"/>
  <c r="J13" i="1"/>
  <c r="J12" i="1"/>
  <c r="A19" i="3"/>
  <c r="A36" i="1"/>
  <c r="A37" i="1"/>
  <c r="A38" i="1"/>
  <c r="A39" i="1"/>
  <c r="A40" i="1"/>
  <c r="A41" i="1"/>
  <c r="R1" i="1"/>
  <c r="J1" i="1"/>
  <c r="B24" i="1"/>
  <c r="F1" i="10"/>
  <c r="E1" i="10"/>
  <c r="D1" i="10"/>
  <c r="C1" i="10"/>
  <c r="B1" i="10"/>
  <c r="H34" i="1"/>
  <c r="F11" i="1"/>
  <c r="G34" i="1"/>
  <c r="D11" i="1"/>
  <c r="A34" i="1"/>
  <c r="B28" i="1"/>
  <c r="B26" i="1"/>
  <c r="B23" i="1"/>
  <c r="B22" i="1"/>
  <c r="B21" i="1"/>
  <c r="B19" i="1"/>
  <c r="B13" i="1"/>
  <c r="B11" i="1"/>
  <c r="F6" i="1"/>
  <c r="B6" i="1"/>
  <c r="B4" i="1"/>
  <c r="B7" i="4"/>
  <c r="A4" i="3"/>
  <c r="D8" i="1"/>
  <c r="B16" i="4"/>
  <c r="B14" i="4"/>
  <c r="B12" i="4"/>
  <c r="B10" i="4"/>
  <c r="B9" i="4"/>
  <c r="B8" i="4"/>
  <c r="B5" i="4"/>
  <c r="A47" i="4"/>
  <c r="A46" i="4"/>
  <c r="A45" i="4"/>
  <c r="A44" i="4"/>
  <c r="A18" i="3"/>
  <c r="A3" i="3"/>
  <c r="A2" i="3"/>
  <c r="A37" i="4"/>
  <c r="A36" i="4"/>
  <c r="A35" i="4"/>
  <c r="A34" i="4"/>
  <c r="B42" i="4"/>
  <c r="B44" i="4"/>
  <c r="D20" i="4"/>
  <c r="D45" i="4"/>
  <c r="B13" i="4"/>
  <c r="I34" i="4"/>
  <c r="A30" i="4"/>
  <c r="A31" i="4"/>
  <c r="A32" i="4"/>
  <c r="A33" i="4"/>
  <c r="B40" i="4"/>
  <c r="B30" i="4"/>
  <c r="B34" i="4"/>
  <c r="B31" i="4"/>
  <c r="B15" i="4"/>
  <c r="C42" i="4"/>
  <c r="B47" i="4"/>
  <c r="B45" i="4"/>
  <c r="B41" i="4"/>
  <c r="B37" i="4"/>
  <c r="B33" i="4"/>
  <c r="B32" i="4"/>
  <c r="B36" i="4"/>
  <c r="B43" i="4"/>
  <c r="D50" i="4"/>
  <c r="D46" i="4"/>
  <c r="D41" i="4"/>
  <c r="D42" i="4"/>
  <c r="B21" i="4"/>
  <c r="B49" i="4"/>
  <c r="B9" i="1"/>
  <c r="D44" i="4"/>
  <c r="B19" i="4"/>
  <c r="C36" i="4"/>
  <c r="D40" i="4"/>
  <c r="B11" i="4"/>
  <c r="F20" i="4"/>
  <c r="D21" i="4"/>
  <c r="D43" i="4"/>
  <c r="D47" i="4"/>
  <c r="B20" i="4"/>
  <c r="D31" i="4"/>
  <c r="H36" i="4"/>
  <c r="I35" i="4"/>
  <c r="C41" i="4"/>
  <c r="G31" i="4"/>
  <c r="C47" i="4"/>
  <c r="E31" i="4"/>
  <c r="H34" i="4"/>
  <c r="I37" i="4"/>
  <c r="I36" i="4"/>
  <c r="H37" i="4"/>
  <c r="E32" i="4"/>
  <c r="F30" i="4"/>
  <c r="H35" i="4"/>
  <c r="E30" i="4"/>
  <c r="F20" i="1"/>
  <c r="F33" i="4"/>
  <c r="E33" i="4"/>
  <c r="F31" i="4"/>
  <c r="F32" i="4"/>
  <c r="C40" i="4"/>
  <c r="C43" i="4"/>
  <c r="C45" i="4"/>
  <c r="J35" i="4"/>
  <c r="C44" i="4"/>
  <c r="J34" i="4"/>
  <c r="C46" i="4"/>
  <c r="G32" i="4"/>
  <c r="C31" i="4"/>
  <c r="C33" i="4"/>
  <c r="C35" i="4"/>
  <c r="C34" i="4"/>
  <c r="C37" i="4"/>
  <c r="C30" i="4"/>
  <c r="C32" i="4"/>
  <c r="D36" i="4"/>
  <c r="D32" i="4"/>
  <c r="D35" i="4"/>
  <c r="D37" i="4"/>
  <c r="D34" i="4"/>
  <c r="F21" i="1"/>
  <c r="D33" i="4"/>
  <c r="E42" i="4"/>
  <c r="D30" i="4"/>
  <c r="E41" i="4"/>
  <c r="F47" i="4"/>
  <c r="F26" i="1"/>
  <c r="F27" i="1"/>
  <c r="E43" i="4"/>
  <c r="F44" i="4"/>
  <c r="J37" i="4"/>
  <c r="F22" i="1"/>
  <c r="F45" i="4"/>
  <c r="F46" i="4"/>
  <c r="E40" i="4"/>
  <c r="F24" i="1"/>
  <c r="B10" i="1"/>
  <c r="J36" i="4"/>
  <c r="G33" i="4"/>
  <c r="G30" i="4"/>
  <c r="F25" i="1"/>
  <c r="F28" i="1"/>
</calcChain>
</file>

<file path=xl/sharedStrings.xml><?xml version="1.0" encoding="utf-8"?>
<sst xmlns="http://schemas.openxmlformats.org/spreadsheetml/2006/main" count="492" uniqueCount="413">
  <si>
    <t>Manufacturer</t>
  </si>
  <si>
    <t>Type</t>
  </si>
  <si>
    <t>Power</t>
  </si>
  <si>
    <t>Isc</t>
  </si>
  <si>
    <t>Impp</t>
  </si>
  <si>
    <t>I temp coeff</t>
  </si>
  <si>
    <t>Victron Energy</t>
  </si>
  <si>
    <t>SPM30-12</t>
  </si>
  <si>
    <t>Min.</t>
  </si>
  <si>
    <t xml:space="preserve">Max. </t>
  </si>
  <si>
    <t>Power @ 12V</t>
  </si>
  <si>
    <t>Power @ 24V</t>
  </si>
  <si>
    <t>Power @ 36V</t>
  </si>
  <si>
    <t>Power @ 48V</t>
  </si>
  <si>
    <t>Temperature</t>
  </si>
  <si>
    <t>min</t>
  </si>
  <si>
    <t>max</t>
  </si>
  <si>
    <t>System voltage</t>
  </si>
  <si>
    <t>Volt</t>
  </si>
  <si>
    <t>System Voltage</t>
  </si>
  <si>
    <t>Ibat max</t>
  </si>
  <si>
    <t>Temp. Coeff. Isc</t>
  </si>
  <si>
    <t>Temp. Coeff. Isc absolute</t>
  </si>
  <si>
    <t>RESULTS:</t>
  </si>
  <si>
    <t>DATA:</t>
  </si>
  <si>
    <t>Max. input voltage</t>
  </si>
  <si>
    <t>Efficiency@12</t>
  </si>
  <si>
    <t>Efficiency@24</t>
  </si>
  <si>
    <t>Efficiency@36</t>
  </si>
  <si>
    <t>Efficiency@48</t>
  </si>
  <si>
    <t>Max. Efficiency</t>
  </si>
  <si>
    <t>SPP30-12</t>
  </si>
  <si>
    <t>Min. input voltage @ MPP</t>
  </si>
  <si>
    <t>Impp output @25°C</t>
  </si>
  <si>
    <t>Isc PV@25°C</t>
  </si>
  <si>
    <t>Impp PV @25°C</t>
  </si>
  <si>
    <t>History</t>
  </si>
  <si>
    <t>- First version</t>
  </si>
  <si>
    <t>Max. PV voltage @ min. temperature</t>
  </si>
  <si>
    <t>Min. PV voltage @ max. temperature</t>
  </si>
  <si>
    <t>Location:</t>
  </si>
  <si>
    <t>In series:</t>
  </si>
  <si>
    <t>Parallel:</t>
  </si>
  <si>
    <t>System voltage:</t>
  </si>
  <si>
    <t>Pitched roof in warm region (good ventilation)</t>
  </si>
  <si>
    <t>Regulator info:</t>
  </si>
  <si>
    <t>Solar module configuration</t>
  </si>
  <si>
    <t>- Reduced output current to maximum output current at low &amp; high temperatures. Now a system will show 'power loss' only wenn the output current exceeds the max. at low &amp; high temperatures.</t>
  </si>
  <si>
    <t>- Power reduction comment set @ highest temperature.</t>
  </si>
  <si>
    <t>Blue Solar charge controller MPPT</t>
  </si>
  <si>
    <t>1.4</t>
  </si>
  <si>
    <t>1.3</t>
  </si>
  <si>
    <t>1.2</t>
  </si>
  <si>
    <t>1.1</t>
  </si>
  <si>
    <t>1.0</t>
  </si>
  <si>
    <t>Example locations with expected temperatures:</t>
  </si>
  <si>
    <t>Pitched on boat (good ventilation)</t>
  </si>
  <si>
    <t>Flat on boat (poor ventilation)</t>
  </si>
  <si>
    <t>Voc @25°C</t>
  </si>
  <si>
    <t>Vmpp @25°C</t>
  </si>
  <si>
    <t>Temp. Coeff. Voc</t>
  </si>
  <si>
    <t>Temp. Coeff. Voc absolute</t>
  </si>
  <si>
    <t>Voc max</t>
  </si>
  <si>
    <t>Voc min</t>
  </si>
  <si>
    <t>Vmpp min</t>
  </si>
  <si>
    <t>Voc max.</t>
  </si>
  <si>
    <t>Pitched roof in average region (good ventilation)</t>
  </si>
  <si>
    <t>Pitched roof on mountain (good ventilation)</t>
  </si>
  <si>
    <t>Module:</t>
  </si>
  <si>
    <t>Max. output current</t>
  </si>
  <si>
    <t>Voc START min.</t>
  </si>
  <si>
    <t>Vmpp RUN min.</t>
  </si>
  <si>
    <t>String Voc max.</t>
  </si>
  <si>
    <t>String Vmpp max.</t>
  </si>
  <si>
    <t>String Voc min.</t>
  </si>
  <si>
    <t>String Vmpp min.</t>
  </si>
  <si>
    <t>Impp PV max.</t>
  </si>
  <si>
    <t>Ibat max.</t>
  </si>
  <si>
    <t>Module info:</t>
  </si>
  <si>
    <t>Max. current @ MPP min. temp.</t>
  </si>
  <si>
    <t>Max. current @ MPP max. temp.</t>
  </si>
  <si>
    <t>Controller:</t>
  </si>
  <si>
    <t>Ibat max. @ Impp</t>
  </si>
  <si>
    <t>Ibat min. @ Impp</t>
  </si>
  <si>
    <t>ENGLISH</t>
  </si>
  <si>
    <t>Pos.</t>
  </si>
  <si>
    <t>DUTCH</t>
  </si>
  <si>
    <t>Paneel:</t>
  </si>
  <si>
    <t>ESPANGOL</t>
  </si>
  <si>
    <t>DEUTSCH</t>
  </si>
  <si>
    <t>Modul:</t>
  </si>
  <si>
    <t>FRANCAIS</t>
  </si>
  <si>
    <t>1.5</t>
  </si>
  <si>
    <t>In serie:</t>
  </si>
  <si>
    <t>In Reihe:</t>
  </si>
  <si>
    <t>En serie:</t>
  </si>
  <si>
    <t>Wp</t>
  </si>
  <si>
    <t>Wc</t>
  </si>
  <si>
    <t>Max.</t>
  </si>
  <si>
    <t>Regelaar:</t>
  </si>
  <si>
    <t>Systeem spanning:</t>
  </si>
  <si>
    <t>Max. ingangsspanning</t>
  </si>
  <si>
    <t>Max. PV spanning @ min. temp.</t>
  </si>
  <si>
    <t>Min. ingangsspanning @ MPP</t>
  </si>
  <si>
    <t>Min. PV spanning @ max. Temp.</t>
  </si>
  <si>
    <t>Max. uitgangsstroom</t>
  </si>
  <si>
    <t>Max. stroom @ MPP min. temp.</t>
  </si>
  <si>
    <t>Max. stroom @ MPP max. temp.</t>
  </si>
  <si>
    <t>Zonne-paneel configuratie</t>
  </si>
  <si>
    <t>Voorbeeld lokaties en verwachte temperatuur:</t>
  </si>
  <si>
    <t>Regler:</t>
  </si>
  <si>
    <t>System Spannung:</t>
  </si>
  <si>
    <t>Max. Eingangspannung:</t>
  </si>
  <si>
    <t>Min. Eingangspannung @ MPP</t>
  </si>
  <si>
    <t>Max. Ausgangstrom</t>
  </si>
  <si>
    <t>Max. Strom @ MPP min. Temp.</t>
  </si>
  <si>
    <t>Max. Strom @ MPP max. Temp.</t>
  </si>
  <si>
    <t>Solar Modul Auslegung</t>
  </si>
  <si>
    <t>Max. PV Spannung @ min. Temp.</t>
  </si>
  <si>
    <t>Min. PV Spannung @ max. Temp.</t>
  </si>
  <si>
    <t>N.A.</t>
  </si>
  <si>
    <t>Vlak op boot (slechte ventilatie)</t>
  </si>
  <si>
    <t>Onder helling op boot (goede ventilatie)</t>
  </si>
  <si>
    <t>Op schuin dak warme omgeving (goede ventilatie)</t>
  </si>
  <si>
    <t>Op schuin dak gemiddelde omgeving (goede ventilatie)</t>
  </si>
  <si>
    <t>Op schuin dak in de bergen (goede ventilatie)</t>
  </si>
  <si>
    <t>Geneigt auf Boot (gute Hinterlüftung)</t>
  </si>
  <si>
    <t>Schrägdach, warme Umgebung (gute Hinterlüftung)</t>
  </si>
  <si>
    <t>Schrägdach, mittlere Regio (gute Hinterlüftung)</t>
  </si>
  <si>
    <t>Schrägdach, in Bergen (gute Hinterlüftung)</t>
  </si>
  <si>
    <t>* Leistung Begrenzung @ niedrige Temp.</t>
  </si>
  <si>
    <t>** Leistung Begrenzung @ hohe Temp.</t>
  </si>
  <si>
    <t>Módulo FV:</t>
  </si>
  <si>
    <t>En paralelo:</t>
  </si>
  <si>
    <t xml:space="preserve">Temp. módulo FV </t>
  </si>
  <si>
    <t>Reguladorr:</t>
  </si>
  <si>
    <t>Voltaje del sistema:</t>
  </si>
  <si>
    <t>Voltaje max. de entrada</t>
  </si>
  <si>
    <t>Voltaje max. FV @ Temperatura min.</t>
  </si>
  <si>
    <t>Voltaje min. de entrada  @ PMP</t>
  </si>
  <si>
    <t>Voltaje min. FV @ Temperatura max.</t>
  </si>
  <si>
    <t>Corriente max. de salida</t>
  </si>
  <si>
    <t>Corriente max. @ PMP temp. min.</t>
  </si>
  <si>
    <t>Corriente max. @ PMP temp. max.</t>
  </si>
  <si>
    <t>Configuración del módulo FV</t>
  </si>
  <si>
    <t>Ejemplos de lugares con temperaturas previstas:</t>
  </si>
  <si>
    <t>Plano sobre una autocaravana, durante todo el año (mala ventilación)</t>
  </si>
  <si>
    <t>Plano sobre una autocaravana, sólo en verano (mala ventilación)</t>
  </si>
  <si>
    <t>Plano sobre el techo de un barco (mala ventilación)</t>
  </si>
  <si>
    <t>Inclinado sobre el techo de un barco (buena ventilación)</t>
  </si>
  <si>
    <t>Techo inclinado en una región cálida (buena ventilación)</t>
  </si>
  <si>
    <t>Techo inclinado en una región templada (buena ventilación)</t>
  </si>
  <si>
    <t>Techo inclinado en las montañas (buena ventilación)</t>
  </si>
  <si>
    <t>* Reducción de potencia @ Temp. baja</t>
  </si>
  <si>
    <t>** Reducción de potencia @ Temp. alta</t>
  </si>
  <si>
    <t>Ventana de voltaje</t>
  </si>
  <si>
    <t>* Vermogens begrenzing @ lage temp.</t>
  </si>
  <si>
    <t>** Vermogens begrenzing @ hoge temp.</t>
  </si>
  <si>
    <t>Tension du système:</t>
  </si>
  <si>
    <t>Tension d'entrée max.:</t>
  </si>
  <si>
    <t>PV tension max. @ temp. min.</t>
  </si>
  <si>
    <t>PV tension min. @ temp. max.</t>
  </si>
  <si>
    <t>Tension d'entrée min. @ MPP</t>
  </si>
  <si>
    <t>Courant de sortie max.</t>
  </si>
  <si>
    <t>Courant max. @ MPP temp. min.</t>
  </si>
  <si>
    <t>Courant max. @ MPP temp. max.</t>
  </si>
  <si>
    <t>Beispiel Standort und erwartete Temperatur:</t>
  </si>
  <si>
    <t>Flach auf Wohnmobil, ganze Jahr (schlechte Hinterlüftung)</t>
  </si>
  <si>
    <t>Flach auf Wohnmobil, nur Sommer (schlechte Hinterlüftung)</t>
  </si>
  <si>
    <t>Flach auf Boot (schlechte Hinterlüftung)</t>
  </si>
  <si>
    <t>À plat sur ​​le bateau (mauvaise ventilation)</t>
  </si>
  <si>
    <t>* Limitation de puissance @ basse temp.</t>
  </si>
  <si>
    <t>** Limitation de puissance @ haute temp.</t>
  </si>
  <si>
    <t>Vlak op camper, gehele jaar (slechte ventilatie)</t>
  </si>
  <si>
    <t>Vlak op camper, alleen zomers (slechte ventilatie)</t>
  </si>
  <si>
    <t>* Power limiting @ low temp.</t>
  </si>
  <si>
    <t>** Power limiting @ high temp.</t>
  </si>
  <si>
    <t>Parallèle:</t>
  </si>
  <si>
    <t>Exemple de localisation de site avec la température attendue:</t>
  </si>
  <si>
    <t>À plat sur toit de camping-car  toute l'année (mauvaise ventilation)</t>
  </si>
  <si>
    <t>À plat sur camping-car , seulement l'été (mauvaise ventilation)</t>
  </si>
  <si>
    <t>Inclinée sur bateau (bonne ventilation)</t>
  </si>
  <si>
    <t>Toit en pente, en région chaude (bonne ventilation)</t>
  </si>
  <si>
    <t>Toit en pente, région tempérée (bonne ventilation)</t>
  </si>
  <si>
    <t>Toit en pente, en montagne (bonne ventilation)</t>
  </si>
  <si>
    <t>Fourchette de courant</t>
  </si>
  <si>
    <t>Panneau:</t>
  </si>
  <si>
    <t>Température Paneau:</t>
  </si>
  <si>
    <t>Régulateur:</t>
  </si>
  <si>
    <t>Configuration du panneau</t>
  </si>
  <si>
    <t>Modul Temperatur:</t>
  </si>
  <si>
    <t>Paneel temperatuur:</t>
  </si>
  <si>
    <t>Module temperature:</t>
  </si>
  <si>
    <t>Fourchette de tension</t>
  </si>
  <si>
    <t>1.6</t>
  </si>
  <si>
    <t>- Changed texts and Module temperature window.</t>
  </si>
  <si>
    <t>- Inserted 4 languages @ updated not applicable (N.A.) voltages for 75/15, 75/50 &amp; 100/15.</t>
  </si>
  <si>
    <t>- Inserted 4 new regulators and 2 more custom module.</t>
  </si>
  <si>
    <t xml:space="preserve">Voltage drop: </t>
  </si>
  <si>
    <t>1.7</t>
  </si>
  <si>
    <t>Cupper resistance</t>
  </si>
  <si>
    <t>String Vmpp corr.max.</t>
  </si>
  <si>
    <t>String Vmpp corr. min.</t>
  </si>
  <si>
    <t>Factor</t>
  </si>
  <si>
    <t>Cable length, Module to MPPT *</t>
  </si>
  <si>
    <t>* One way length</t>
  </si>
  <si>
    <t>Yes</t>
  </si>
  <si>
    <t>No</t>
  </si>
  <si>
    <t>Are the solar modules covered with snow many periods a year?</t>
  </si>
  <si>
    <t>* Enkele afstand</t>
  </si>
  <si>
    <t>Zijn de panelen gedurende veel periodes bedekt met sneeuw?</t>
  </si>
  <si>
    <t>Ja</t>
  </si>
  <si>
    <t>Nee</t>
  </si>
  <si>
    <t>Kabel Länge, Modul zum MPPT *</t>
  </si>
  <si>
    <t>Kabel lengte, paneel tot MPPT *</t>
  </si>
  <si>
    <t>* Einfache Distanz</t>
  </si>
  <si>
    <t>Sind die Solar Module öfters im Jahr bedeckt mit Schnee?</t>
  </si>
  <si>
    <t>Nein</t>
  </si>
  <si>
    <t>Oui</t>
  </si>
  <si>
    <t>Non</t>
  </si>
  <si>
    <t> * Longitud de un solo cable</t>
  </si>
  <si>
    <t> ¿Los módulos están cubiertos con nieve durante muchos períodos del año?</t>
  </si>
  <si>
    <t>Si</t>
  </si>
  <si>
    <t>Cross-section:</t>
  </si>
  <si>
    <t>Doorsnede:</t>
  </si>
  <si>
    <t>Querschnitt:</t>
  </si>
  <si>
    <t>Section:</t>
  </si>
  <si>
    <t>* La distance simple</t>
  </si>
  <si>
    <t>SPM190-24</t>
  </si>
  <si>
    <t>SPM300-24</t>
  </si>
  <si>
    <t>SPP140-12</t>
  </si>
  <si>
    <t>- Added new solar modules, voltage drop correction and an option to rise the cell temperature in the example list, when the solar modules do not see snow and therefor temperatures will not be so low.</t>
  </si>
  <si>
    <t>Vmpp</t>
  </si>
  <si>
    <t>Voc</t>
  </si>
  <si>
    <t>V temp coeff</t>
  </si>
  <si>
    <t>Flat on mobile home, all year (poor ventilation)</t>
  </si>
  <si>
    <t>Flat on mobile home, only summer (poor ventilation)</t>
  </si>
  <si>
    <t>[name]</t>
  </si>
  <si>
    <t>[W]</t>
  </si>
  <si>
    <t>[V]</t>
  </si>
  <si>
    <t>[A]</t>
  </si>
  <si>
    <t>[%/°C]</t>
  </si>
  <si>
    <t>If you have the voltage temperature coefficient in mV/°C, here is how to change it to %/°C</t>
  </si>
  <si>
    <t>Write the Voc value in Volt:</t>
  </si>
  <si>
    <t>Write the coefficient value in mV/°C:</t>
  </si>
  <si>
    <t>The coefficent value in %/°C is now:</t>
  </si>
  <si>
    <t>If you have the current temperature coefficient in mA/°C, here is how to change it to %/°C</t>
  </si>
  <si>
    <t>Write the Isc value in Ampere:</t>
  </si>
  <si>
    <t>Write the coefficient value in mA/°C:</t>
  </si>
  <si>
    <t>V</t>
  </si>
  <si>
    <t>mV/°C</t>
  </si>
  <si>
    <t>%/°C</t>
  </si>
  <si>
    <t>A</t>
  </si>
  <si>
    <t>mA/°C</t>
  </si>
  <si>
    <t>1.8</t>
  </si>
  <si>
    <t>- Added a small calculation on the 'Modules' TAB  to help when temperature coefficiences are not in %/°C or %/°K but in mV/°C or mA/°C</t>
  </si>
  <si>
    <t>Coefficient support:</t>
  </si>
  <si>
    <t>1.9</t>
  </si>
  <si>
    <t>Art.Nr.</t>
  </si>
  <si>
    <t>SPM50-12</t>
  </si>
  <si>
    <t>SPM80-12</t>
  </si>
  <si>
    <t>SPM100-12</t>
  </si>
  <si>
    <t>SPP40-12</t>
  </si>
  <si>
    <t>SPP50-12</t>
  </si>
  <si>
    <t>SPP80-12</t>
  </si>
  <si>
    <t>SPP100-12</t>
  </si>
  <si>
    <t>SPP250-20</t>
  </si>
  <si>
    <t>Custom: 9XYZ</t>
  </si>
  <si>
    <t>9ABC</t>
  </si>
  <si>
    <t>- Added new solar modules, and now 10 additional modules can be added instead of 3.</t>
  </si>
  <si>
    <t>Sección:</t>
  </si>
  <si>
    <t>Largo de cable entre modulo y MPPT *</t>
  </si>
  <si>
    <t>Cuantos módulos? En Serie:</t>
  </si>
  <si>
    <t>Ventana de corriente</t>
  </si>
  <si>
    <t>SPP020401200</t>
  </si>
  <si>
    <t>Les panneaux PV sont-ils souvent couverts de neige ?</t>
  </si>
  <si>
    <t>Accepted</t>
  </si>
  <si>
    <t>Accepté</t>
  </si>
  <si>
    <t>Aceptado</t>
  </si>
  <si>
    <t>Toegestaan</t>
  </si>
  <si>
    <t>NOT accepted</t>
  </si>
  <si>
    <t>NIET toegestaan</t>
  </si>
  <si>
    <t>PAS accepté</t>
  </si>
  <si>
    <t>NO aceptado</t>
  </si>
  <si>
    <t>Erlaubt</t>
  </si>
  <si>
    <t>NICHT erlaubt</t>
  </si>
  <si>
    <t>Longueur cable, Paneaux à MPPT *</t>
  </si>
  <si>
    <t>- Added the MPPT 75/10 and took out the discontinued 75/50</t>
  </si>
  <si>
    <t>2.0</t>
  </si>
  <si>
    <t>2.1</t>
  </si>
  <si>
    <t>- Inserted BlueSolar MPPT 100/15. Inserted custom module</t>
  </si>
  <si>
    <t>BlueSolar MPPT 150/70 VE.Can</t>
  </si>
  <si>
    <t>BlueSolar MPPT 150/85 VE.Can</t>
  </si>
  <si>
    <t>BlueSolar MPPT 150/45 Tr/MC4</t>
  </si>
  <si>
    <t>BlueSolar MPPT 150/60 Tr/MC4</t>
  </si>
  <si>
    <t>BlueSolar MPPT 150/70 Tr/MC4</t>
  </si>
  <si>
    <t>- Added the Poly module with 190Wp &amp; added the new VE.Direct MPPT's 150/45, 150/60 &amp; 150/70, small correction in cable loss voltage</t>
  </si>
  <si>
    <t>Total PV power @STC:</t>
  </si>
  <si>
    <t>Totale PV vermogen @STC:</t>
  </si>
  <si>
    <t>Potencia total FV @STC:</t>
  </si>
  <si>
    <t>PV Leistung insgesamt @STC:</t>
  </si>
  <si>
    <t>Puissance PV totale @STC:</t>
  </si>
  <si>
    <t>- Added the MPPT 150/85 Tr/MC4 and 150/100 Tr/MC4 &amp; added two cable sizes 16mm² &amp; 35mm²</t>
  </si>
  <si>
    <t>Input voltage window</t>
  </si>
  <si>
    <t>Charge current window</t>
  </si>
  <si>
    <t>Laadstroom venster</t>
  </si>
  <si>
    <t>Ingangspanning venster</t>
  </si>
  <si>
    <t>Eingangspannungsfenster</t>
  </si>
  <si>
    <t>Ladestromfenster</t>
  </si>
  <si>
    <t>Attention: More than 30% oversized PV generator</t>
  </si>
  <si>
    <t>Attentie: Meer dan 30% overgedimensioneerde PV generator</t>
  </si>
  <si>
    <t>Achtung: Mehr als 30% überdimensionierte PV Generator</t>
  </si>
  <si>
    <t>Choosen PV power</t>
  </si>
  <si>
    <t>PV Power ratio</t>
  </si>
  <si>
    <t>If more than 1.3 the user becomes an alert that he/ she is oversizing the PV generator with more than 30%</t>
  </si>
  <si>
    <t>Possible charge power (from datasheet) without limiting PV power</t>
  </si>
  <si>
    <t>Atención, se ha sobredimensionado el generador FV más del 30%</t>
  </si>
  <si>
    <t>Attention, surdimensionnement PV supérieur à 30% ! Non recommandé financièrement !</t>
  </si>
  <si>
    <t>IPV max</t>
  </si>
  <si>
    <t>- This Excel gives an indication how to calculate Victron Energy MPPT's</t>
  </si>
  <si>
    <t>SmartSolar MPPT 250/85 Tr/MC4</t>
  </si>
  <si>
    <t>SmartSolar MPPT 250/100 Tr/MC4</t>
  </si>
  <si>
    <t>SPP032502001</t>
  </si>
  <si>
    <t>SPP032902400</t>
  </si>
  <si>
    <t>SPP290-24</t>
  </si>
  <si>
    <t>SPP20-12</t>
  </si>
  <si>
    <t>SPP030201200</t>
  </si>
  <si>
    <t>SPP030301200</t>
  </si>
  <si>
    <t>SPP030501200</t>
  </si>
  <si>
    <t>SPP031001200</t>
  </si>
  <si>
    <t>SPP030801200</t>
  </si>
  <si>
    <t>SPP031401200</t>
  </si>
  <si>
    <t>SPM030301200</t>
  </si>
  <si>
    <t>SPM030501200</t>
  </si>
  <si>
    <t>SPM030801200</t>
  </si>
  <si>
    <t>SPM031001200</t>
  </si>
  <si>
    <t>SPM031902400</t>
  </si>
  <si>
    <t xml:space="preserve">SPM033002400 </t>
  </si>
  <si>
    <t xml:space="preserve">- Replaced solar modules according newest list. Added 2 SmartSolar MPPT's 250/85 &amp; 250/100 &amp; a remark when the PV generator is oversized. </t>
  </si>
  <si>
    <t>- Bug fixed for max. charge current calculations</t>
  </si>
  <si>
    <t>Coefficients de température:</t>
  </si>
  <si>
    <t>Si vous avez le Coefficient de température à tension de circuit ouvert  en mV/°C , voici comment changer ce coefficient en %/°C</t>
  </si>
  <si>
    <t>Ecrire la valeur de la VOC en Volt:</t>
  </si>
  <si>
    <t>Ecrire la valeur du coefficient en mV/°C:</t>
  </si>
  <si>
    <t>La valeur du coefficient en %/°C est de:</t>
  </si>
  <si>
    <t>Si vous avez le Coefficient de température à Courant de Court-Cicuit en mA/°C, voici comment changer ce coefficient en %/°C</t>
  </si>
  <si>
    <t>Ecrire la valeur de Isc en Ampère:</t>
  </si>
  <si>
    <t>Ecrire la valeur du coefficient en mA/°C:</t>
  </si>
  <si>
    <t>La valeur du coefficient en %/°C est de :</t>
  </si>
  <si>
    <t>Koeffizientenberechnung:</t>
  </si>
  <si>
    <t>Hier können Sie die Spannungskoeffizient von mV/°C in %/°C wandeln</t>
  </si>
  <si>
    <t>Schreiben Sie den Voc Wert in Volt:</t>
  </si>
  <si>
    <t>Der errechneter Koeffizient in %/°C ist jetzt:</t>
  </si>
  <si>
    <t>Hier können Sie die Stromkoeffizient von mA/°C in %/°C wandeln</t>
  </si>
  <si>
    <t>Schreiben Sie den Isc Wert in Ampere:</t>
  </si>
  <si>
    <t>Koefficient berekening:</t>
  </si>
  <si>
    <t>Schreiben Sie den Koeffizient Wert in mV/°C:</t>
  </si>
  <si>
    <t>Schreiben Sie den Koeffizient Wert in mA/°C:</t>
  </si>
  <si>
    <t>Schrijf hier de Voc waarde in Volt:</t>
  </si>
  <si>
    <t>Schrijf hier de Isc waarde in Ampere:</t>
  </si>
  <si>
    <t>Schrijf hier de koefficient waarde in mV/°C:</t>
  </si>
  <si>
    <t>Schrijf hier de koefficient waarde in mA/°C:</t>
  </si>
  <si>
    <t>De berekende koefficient in %/°C is nu:</t>
  </si>
  <si>
    <t>Hier kunt U de spanning koeffizient van mV/°C naar %/°C omrekenen</t>
  </si>
  <si>
    <t>Hier kunt U de stroom koeffizient van mA/°C naar %/°C omrekenen</t>
  </si>
  <si>
    <t>- Added translations for 'coefficient support' in the modules TAB</t>
  </si>
  <si>
    <t>Calculación de coeficiente de temperatura</t>
  </si>
  <si>
    <t>Escribir el valor de Voc (voltage de circuito abierto) en voltios</t>
  </si>
  <si>
    <t>Escribir el valor de coeficiente en mV/°C:</t>
  </si>
  <si>
    <t>El valor de coeficiente en %/°C es ahora:</t>
  </si>
  <si>
    <t>Escribir el valor de Isc (corriente de cortocircuito) en amperios</t>
  </si>
  <si>
    <t>Si tiene el coeficiente de temperatura actual en mA/°C, aquí es cómo cambiarlo a %/°C</t>
  </si>
  <si>
    <t>Si tiene el coeficiente de temperatura de voltaje en mV/°C, aquí es cómo cambiarlo a %/°C</t>
  </si>
  <si>
    <t>Escribir el valor de coeficiente en mA/°C:</t>
  </si>
  <si>
    <t>Blue-/ SmartSolar MPPT 75/10</t>
  </si>
  <si>
    <t>Blue-/ SmartSolar MPPT 75/15</t>
  </si>
  <si>
    <t>Blue-/ SmartSolar MPPT 100/15</t>
  </si>
  <si>
    <t>Blue-/ SmartSolar MPPT 100/30</t>
  </si>
  <si>
    <t>Blue-/ SmartSolar MPPT 100/50</t>
  </si>
  <si>
    <t>Blue-/ SmartSolar MPPT 150/35</t>
  </si>
  <si>
    <t>Smart Solar MPPT 100/20</t>
  </si>
  <si>
    <t>- Added Smart Regulators and SmartSolar 100/20</t>
  </si>
  <si>
    <t>Custom: 10XYZ</t>
  </si>
  <si>
    <t>10ABC</t>
  </si>
  <si>
    <t>SPM031501200</t>
  </si>
  <si>
    <t>SPM150-12</t>
  </si>
  <si>
    <t>SmartSolar MPPT 250/60 Tr/MC4</t>
  </si>
  <si>
    <t>SmartSolar MPPT 150/85 Tr/MC4</t>
  </si>
  <si>
    <t>SmartSolar MPPT 150/100 Tr/MC4</t>
  </si>
  <si>
    <t>SmartSolar MPPT 250/70 Tr/MC4</t>
  </si>
  <si>
    <t>Custom: 11XYZ</t>
  </si>
  <si>
    <t>11ABC</t>
  </si>
  <si>
    <t>Maximum power point PV current is higher than maximum regulator input current</t>
  </si>
  <si>
    <t>- Added 150Wp mono module, SmartSolar 250/60 &amp; 70 and maximum input current</t>
  </si>
  <si>
    <t>BHO 11-2017 2.7</t>
  </si>
  <si>
    <t>Warning: PV current is higher than MPPT max. input current</t>
  </si>
  <si>
    <t>Waarschuwing: PV stroom is hoger dan max. ingangstroom MPPT</t>
  </si>
  <si>
    <t xml:space="preserve">Attention! Le courant PV est supérieur au courant d’entrée maximum du MPPT </t>
  </si>
  <si>
    <t>Atención: la corriente FV es superior a la máxima corriente de entrada MPPT</t>
  </si>
  <si>
    <t>Warnung: PV Strom ist höher als max. erlaubter Eingangstrom MPPT</t>
  </si>
  <si>
    <t>SolarWorld</t>
  </si>
  <si>
    <t>300W Mono</t>
  </si>
  <si>
    <t>280W Protect</t>
  </si>
  <si>
    <t>JA SOLAR</t>
  </si>
  <si>
    <t>350W JAM6(K) 72-350/PR</t>
  </si>
  <si>
    <t>150W flexible</t>
  </si>
  <si>
    <t>SUNPOWER</t>
  </si>
  <si>
    <t>150W flexible ETFE</t>
  </si>
  <si>
    <t>110W flexible ETFE</t>
  </si>
  <si>
    <t>BENQ</t>
  </si>
  <si>
    <t>333W</t>
  </si>
  <si>
    <t>SOLARNOVA</t>
  </si>
  <si>
    <t>260W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</si>
</sst>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General\ &quot;°C&quot;"/>
    <numFmt numFmtId="165" formatCode="General\ &quot;V&quot;"/>
    <numFmt numFmtId="166" formatCode="0.0\ &quot;V&quot;"/>
    <numFmt numFmtId="167" formatCode="0.000\ &quot;%/°C&quot;"/>
    <numFmt numFmtId="168" formatCode="0.0"/>
    <numFmt numFmtId="169" formatCode="0.0\ &quot;A&quot;"/>
    <numFmt numFmtId="170" formatCode="0.000\ &quot;V/°C&quot;"/>
    <numFmt numFmtId="171" formatCode="0.00\ &quot;A&quot;"/>
    <numFmt numFmtId="172" formatCode="0.000\ &quot;A/°C&quot;"/>
    <numFmt numFmtId="173" formatCode="General\ &quot;A&quot;"/>
    <numFmt numFmtId="174" formatCode="&quot;(Col&quot;\ General\ &quot;)&quot;"/>
    <numFmt numFmtId="175" formatCode="&quot;+&quot;\ General\ &quot;V&quot;"/>
    <numFmt numFmtId="176" formatCode="0.0000\ &quot;Ohm/mm²/m&quot;"/>
    <numFmt numFmtId="177" formatCode="0.000"/>
    <numFmt numFmtId="178" formatCode="0.0\ &quot;mm²&quot;"/>
    <numFmt numFmtId="179" formatCode="General\ &quot;m&quot;"/>
    <numFmt numFmtId="180" formatCode="0\ &quot;Wp&quot;"/>
    <numFmt numFmtId="181" formatCode="0.00\ &quot;&quot;"/>
  </numFmts>
  <fonts count="15" x14ac:knownFonts="1">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sz val="11"/>
      <color theme="3" tint="0.59999389629810485"/>
      <name val="Calibri"/>
      <family val="2"/>
      <scheme val="minor"/>
    </font>
    <font>
      <u/>
      <sz val="11"/>
      <color theme="10"/>
      <name val="Calibri"/>
      <family val="2"/>
      <scheme val="minor"/>
    </font>
    <font>
      <b/>
      <sz val="11"/>
      <name val="Calibri"/>
      <family val="2"/>
      <scheme val="minor"/>
    </font>
    <font>
      <b/>
      <sz val="12"/>
      <name val="Calibri"/>
      <family val="2"/>
      <scheme val="minor"/>
    </font>
    <font>
      <sz val="11"/>
      <color rgb="FF000000"/>
      <name val="Calibri"/>
      <family val="2"/>
      <scheme val="minor"/>
    </font>
    <font>
      <sz val="11"/>
      <color theme="1" tint="0.499984740745262"/>
      <name val="Calibri"/>
      <family val="2"/>
      <scheme val="minor"/>
    </font>
    <font>
      <b/>
      <sz val="9"/>
      <color theme="1"/>
      <name val="Calibri"/>
      <family val="2"/>
      <scheme val="minor"/>
    </font>
    <font>
      <i/>
      <sz val="11"/>
      <color theme="1"/>
      <name val="Calibri"/>
      <family val="2"/>
      <scheme val="minor"/>
    </font>
    <font>
      <sz val="9"/>
      <color theme="0"/>
      <name val="Calibri"/>
      <family val="2"/>
      <scheme val="minor"/>
    </font>
    <font>
      <b/>
      <sz val="11"/>
      <color theme="0"/>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56">
    <xf numFmtId="0" fontId="0" fillId="0" borderId="0" xfId="0"/>
    <xf numFmtId="0" fontId="0" fillId="2" borderId="0" xfId="0" applyFill="1"/>
    <xf numFmtId="0" fontId="0" fillId="3" borderId="0" xfId="0" applyFill="1"/>
    <xf numFmtId="0" fontId="0" fillId="4" borderId="0" xfId="0" applyFill="1"/>
    <xf numFmtId="166" fontId="0" fillId="4" borderId="0" xfId="0" applyNumberFormat="1" applyFill="1"/>
    <xf numFmtId="0" fontId="0" fillId="5" borderId="1" xfId="0" applyFill="1" applyBorder="1" applyAlignment="1" applyProtection="1">
      <alignment horizontal="center"/>
      <protection locked="0"/>
    </xf>
    <xf numFmtId="0" fontId="0" fillId="2" borderId="0" xfId="0" applyFill="1" applyBorder="1" applyProtection="1">
      <protection locked="0"/>
    </xf>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0" borderId="0" xfId="0" applyProtection="1"/>
    <xf numFmtId="0" fontId="0" fillId="5" borderId="5" xfId="0" applyFill="1" applyBorder="1" applyProtection="1"/>
    <xf numFmtId="0" fontId="0" fillId="5" borderId="0" xfId="0" applyFill="1" applyBorder="1" applyProtection="1"/>
    <xf numFmtId="0" fontId="0" fillId="5" borderId="6" xfId="0"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0" xfId="0" applyFill="1" applyBorder="1" applyAlignment="1" applyProtection="1">
      <alignment horizontal="right"/>
    </xf>
    <xf numFmtId="0" fontId="0" fillId="2" borderId="2" xfId="0" applyFill="1" applyBorder="1" applyProtection="1"/>
    <xf numFmtId="0" fontId="0" fillId="2" borderId="3" xfId="0" applyFill="1" applyBorder="1" applyProtection="1"/>
    <xf numFmtId="0" fontId="0" fillId="2" borderId="4" xfId="0" applyFill="1" applyBorder="1" applyProtection="1"/>
    <xf numFmtId="166" fontId="0" fillId="2" borderId="6" xfId="0" applyNumberFormat="1"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2" borderId="0" xfId="0" applyFont="1" applyFill="1" applyBorder="1" applyAlignment="1" applyProtection="1">
      <alignment horizontal="center"/>
      <protection locked="0"/>
    </xf>
    <xf numFmtId="0" fontId="2" fillId="5" borderId="10" xfId="0" applyFont="1" applyFill="1" applyBorder="1" applyProtection="1"/>
    <xf numFmtId="0" fontId="2" fillId="5" borderId="10" xfId="0" applyFont="1" applyFill="1" applyBorder="1" applyAlignment="1" applyProtection="1">
      <alignment horizontal="center"/>
    </xf>
    <xf numFmtId="0" fontId="0" fillId="6" borderId="0" xfId="0" applyFill="1"/>
    <xf numFmtId="164" fontId="0" fillId="6" borderId="0" xfId="0" applyNumberFormat="1" applyFill="1"/>
    <xf numFmtId="166" fontId="0" fillId="6" borderId="0" xfId="0" applyNumberFormat="1" applyFill="1"/>
    <xf numFmtId="171" fontId="0" fillId="6" borderId="0" xfId="0" applyNumberFormat="1" applyFill="1"/>
    <xf numFmtId="167" fontId="0" fillId="6" borderId="0" xfId="0" applyNumberFormat="1" applyFill="1"/>
    <xf numFmtId="170" fontId="0" fillId="6" borderId="0" xfId="0" applyNumberFormat="1" applyFill="1"/>
    <xf numFmtId="172" fontId="0" fillId="6" borderId="0" xfId="0" applyNumberFormat="1" applyFill="1"/>
    <xf numFmtId="169" fontId="0" fillId="6" borderId="0" xfId="0" applyNumberFormat="1" applyFill="1"/>
    <xf numFmtId="165" fontId="0" fillId="6" borderId="0" xfId="0" applyNumberFormat="1" applyFill="1"/>
    <xf numFmtId="174" fontId="0" fillId="6" borderId="0" xfId="0" applyNumberFormat="1" applyFill="1" applyAlignment="1">
      <alignment horizontal="left"/>
    </xf>
    <xf numFmtId="0" fontId="0" fillId="4" borderId="0" xfId="0" applyFill="1" applyAlignment="1">
      <alignment horizontal="center"/>
    </xf>
    <xf numFmtId="0" fontId="0" fillId="6" borderId="0" xfId="0" applyFill="1" applyAlignment="1">
      <alignment horizontal="center"/>
    </xf>
    <xf numFmtId="164" fontId="0" fillId="6" borderId="0" xfId="0" applyNumberFormat="1" applyFill="1" applyAlignment="1">
      <alignment horizontal="center"/>
    </xf>
    <xf numFmtId="166" fontId="0" fillId="6" borderId="0" xfId="0" applyNumberFormat="1" applyFill="1" applyAlignment="1">
      <alignment horizontal="center"/>
    </xf>
    <xf numFmtId="168" fontId="0" fillId="6" borderId="0" xfId="0" applyNumberFormat="1" applyFill="1" applyAlignment="1">
      <alignment horizontal="center"/>
    </xf>
    <xf numFmtId="169" fontId="0" fillId="6" borderId="0" xfId="0" applyNumberFormat="1" applyFill="1" applyAlignment="1">
      <alignment horizontal="center"/>
    </xf>
    <xf numFmtId="171" fontId="0" fillId="6" borderId="0" xfId="0" applyNumberFormat="1" applyFill="1" applyAlignment="1">
      <alignment horizontal="center"/>
    </xf>
    <xf numFmtId="165" fontId="0" fillId="6" borderId="0" xfId="0" applyNumberFormat="1" applyFill="1" applyAlignment="1">
      <alignment horizontal="center"/>
    </xf>
    <xf numFmtId="171" fontId="3" fillId="6" borderId="0" xfId="0" applyNumberFormat="1" applyFont="1" applyFill="1"/>
    <xf numFmtId="0" fontId="3" fillId="6" borderId="0" xfId="0" applyFont="1" applyFill="1"/>
    <xf numFmtId="165" fontId="0" fillId="2" borderId="3" xfId="0" applyNumberFormat="1" applyFill="1" applyBorder="1" applyAlignment="1" applyProtection="1">
      <alignment horizontal="center"/>
    </xf>
    <xf numFmtId="166" fontId="0" fillId="2" borderId="0" xfId="0" applyNumberFormat="1" applyFill="1" applyBorder="1" applyAlignment="1" applyProtection="1">
      <alignment horizontal="center"/>
    </xf>
    <xf numFmtId="173" fontId="0" fillId="2" borderId="0" xfId="0" applyNumberFormat="1" applyFill="1" applyBorder="1" applyAlignment="1" applyProtection="1">
      <alignment horizontal="center"/>
    </xf>
    <xf numFmtId="169" fontId="0" fillId="2" borderId="0" xfId="0" applyNumberFormat="1" applyFill="1" applyBorder="1" applyAlignment="1" applyProtection="1">
      <alignment horizontal="center"/>
    </xf>
    <xf numFmtId="0" fontId="0" fillId="5" borderId="0" xfId="0" applyFill="1"/>
    <xf numFmtId="0" fontId="0" fillId="5" borderId="0" xfId="0" applyFont="1" applyFill="1" applyAlignment="1">
      <alignment horizontal="center"/>
    </xf>
    <xf numFmtId="0" fontId="0" fillId="5" borderId="0" xfId="0" applyFill="1" applyAlignment="1">
      <alignment horizontal="center"/>
    </xf>
    <xf numFmtId="0" fontId="0" fillId="5" borderId="10" xfId="0" applyFill="1" applyBorder="1" applyProtection="1"/>
    <xf numFmtId="166" fontId="0" fillId="2" borderId="8" xfId="0" applyNumberFormat="1" applyFill="1" applyBorder="1" applyAlignment="1" applyProtection="1">
      <alignment horizontal="center"/>
    </xf>
    <xf numFmtId="0" fontId="0" fillId="5" borderId="0" xfId="0" applyFill="1" applyProtection="1"/>
    <xf numFmtId="0" fontId="4" fillId="5" borderId="0" xfId="0" applyFont="1" applyFill="1" applyProtection="1"/>
    <xf numFmtId="0" fontId="2" fillId="5" borderId="0" xfId="0" applyFont="1" applyFill="1" applyProtection="1"/>
    <xf numFmtId="0" fontId="5" fillId="2" borderId="0" xfId="0" applyFont="1" applyFill="1" applyBorder="1" applyProtection="1"/>
    <xf numFmtId="0" fontId="0" fillId="5" borderId="6" xfId="0" applyFill="1" applyBorder="1" applyAlignment="1">
      <alignment horizontal="right"/>
    </xf>
    <xf numFmtId="0" fontId="1" fillId="5" borderId="0" xfId="0" applyFont="1" applyFill="1" applyAlignment="1" applyProtection="1">
      <alignment horizontal="center"/>
    </xf>
    <xf numFmtId="164" fontId="0" fillId="6" borderId="1" xfId="0" applyNumberFormat="1" applyFill="1" applyBorder="1" applyAlignment="1">
      <alignment horizontal="center"/>
    </xf>
    <xf numFmtId="164" fontId="0" fillId="5" borderId="1" xfId="0" applyNumberFormat="1" applyFill="1" applyBorder="1" applyAlignment="1" applyProtection="1">
      <alignment horizontal="center"/>
    </xf>
    <xf numFmtId="164" fontId="0" fillId="5" borderId="1" xfId="0" applyNumberFormat="1" applyFill="1" applyBorder="1" applyAlignment="1" applyProtection="1">
      <alignment horizontal="center"/>
      <protection locked="0"/>
    </xf>
    <xf numFmtId="0" fontId="2" fillId="4" borderId="1" xfId="0" applyFont="1" applyFill="1" applyBorder="1" applyAlignment="1">
      <alignment horizontal="center"/>
    </xf>
    <xf numFmtId="164" fontId="1" fillId="4" borderId="0" xfId="0" applyNumberFormat="1" applyFont="1" applyFill="1"/>
    <xf numFmtId="0" fontId="0" fillId="4" borderId="0" xfId="0" quotePrefix="1" applyFill="1"/>
    <xf numFmtId="0" fontId="2" fillId="2" borderId="6" xfId="0" applyFont="1" applyFill="1" applyBorder="1" applyAlignment="1">
      <alignment horizontal="right"/>
    </xf>
    <xf numFmtId="0" fontId="0" fillId="6" borderId="6" xfId="0" quotePrefix="1" applyFill="1" applyBorder="1" applyAlignment="1">
      <alignment horizontal="right"/>
    </xf>
    <xf numFmtId="168" fontId="0" fillId="6" borderId="6" xfId="0" quotePrefix="1" applyNumberFormat="1" applyFill="1" applyBorder="1" applyAlignment="1">
      <alignment horizontal="right"/>
    </xf>
    <xf numFmtId="0" fontId="2" fillId="2" borderId="1" xfId="0" applyFont="1" applyFill="1" applyBorder="1" applyAlignment="1">
      <alignment horizontal="center"/>
    </xf>
    <xf numFmtId="0" fontId="2" fillId="2" borderId="1" xfId="0" quotePrefix="1" applyFont="1" applyFill="1" applyBorder="1" applyAlignment="1">
      <alignment horizontal="center"/>
    </xf>
    <xf numFmtId="0" fontId="2" fillId="6" borderId="1" xfId="0" applyFont="1" applyFill="1" applyBorder="1" applyAlignment="1">
      <alignment horizontal="center"/>
    </xf>
    <xf numFmtId="0" fontId="0" fillId="4" borderId="1" xfId="0" applyFill="1" applyBorder="1" applyAlignment="1">
      <alignment horizontal="center"/>
    </xf>
    <xf numFmtId="0" fontId="0" fillId="4" borderId="1" xfId="0" quotePrefix="1" applyFill="1" applyBorder="1" applyAlignment="1">
      <alignment horizontal="center"/>
    </xf>
    <xf numFmtId="175" fontId="0" fillId="4" borderId="1" xfId="0" applyNumberFormat="1" applyFill="1" applyBorder="1" applyAlignment="1">
      <alignment horizontal="center"/>
    </xf>
    <xf numFmtId="0" fontId="2" fillId="6" borderId="1" xfId="0" applyFont="1" applyFill="1" applyBorder="1"/>
    <xf numFmtId="0" fontId="2" fillId="4" borderId="11" xfId="0" applyFont="1" applyFill="1" applyBorder="1"/>
    <xf numFmtId="0" fontId="0" fillId="4" borderId="12" xfId="0" applyFill="1" applyBorder="1" applyProtection="1"/>
    <xf numFmtId="0" fontId="0" fillId="6" borderId="11" xfId="0" applyFill="1" applyBorder="1"/>
    <xf numFmtId="0" fontId="0" fillId="6" borderId="12" xfId="0" applyFill="1" applyBorder="1" applyProtection="1"/>
    <xf numFmtId="0" fontId="4" fillId="5" borderId="0" xfId="0" applyFont="1" applyFill="1" applyAlignment="1" applyProtection="1">
      <alignment horizontal="right"/>
    </xf>
    <xf numFmtId="0" fontId="0" fillId="2" borderId="0" xfId="0" applyNumberFormat="1" applyFill="1" applyBorder="1" applyAlignment="1" applyProtection="1">
      <alignment horizontal="right"/>
    </xf>
    <xf numFmtId="0" fontId="7" fillId="5" borderId="3" xfId="1" applyFont="1" applyFill="1" applyBorder="1" applyAlignment="1" applyProtection="1">
      <alignment vertical="center"/>
    </xf>
    <xf numFmtId="0" fontId="7" fillId="5" borderId="0" xfId="1" applyFont="1" applyFill="1" applyBorder="1" applyAlignment="1" applyProtection="1">
      <alignment vertical="center"/>
    </xf>
    <xf numFmtId="0" fontId="0" fillId="4" borderId="1" xfId="0" applyFont="1" applyFill="1" applyBorder="1" applyAlignment="1">
      <alignment horizontal="center"/>
    </xf>
    <xf numFmtId="0" fontId="0" fillId="4" borderId="1" xfId="0" quotePrefix="1" applyFont="1" applyFill="1" applyBorder="1" applyAlignment="1">
      <alignment horizontal="center"/>
    </xf>
    <xf numFmtId="175" fontId="0" fillId="4" borderId="1" xfId="0" applyNumberFormat="1" applyFont="1" applyFill="1" applyBorder="1" applyAlignment="1">
      <alignment horizontal="center"/>
    </xf>
    <xf numFmtId="0" fontId="9" fillId="2" borderId="0" xfId="0" applyFont="1" applyFill="1" applyBorder="1" applyProtection="1"/>
    <xf numFmtId="0" fontId="0" fillId="7" borderId="0" xfId="0" applyFill="1"/>
    <xf numFmtId="166" fontId="0" fillId="7" borderId="0" xfId="0" applyNumberFormat="1" applyFill="1"/>
    <xf numFmtId="0" fontId="0" fillId="7" borderId="0" xfId="0" quotePrefix="1" applyFill="1"/>
    <xf numFmtId="0" fontId="0" fillId="8" borderId="6" xfId="0" quotePrefix="1" applyFill="1" applyBorder="1" applyAlignment="1">
      <alignment horizontal="right"/>
    </xf>
    <xf numFmtId="176" fontId="0" fillId="6" borderId="0" xfId="0" applyNumberFormat="1" applyFill="1"/>
    <xf numFmtId="177" fontId="0" fillId="6" borderId="0" xfId="0" applyNumberFormat="1" applyFill="1"/>
    <xf numFmtId="0" fontId="10" fillId="6" borderId="0" xfId="0" applyFont="1" applyFill="1" applyAlignment="1">
      <alignment horizontal="center"/>
    </xf>
    <xf numFmtId="166" fontId="10" fillId="6" borderId="0" xfId="0" applyNumberFormat="1" applyFont="1" applyFill="1" applyAlignment="1">
      <alignment horizontal="center"/>
    </xf>
    <xf numFmtId="179" fontId="0" fillId="5" borderId="1" xfId="0" applyNumberFormat="1" applyFill="1" applyBorder="1" applyAlignment="1" applyProtection="1">
      <alignment horizontal="center"/>
      <protection locked="0"/>
    </xf>
    <xf numFmtId="0" fontId="5" fillId="2" borderId="6" xfId="0" applyFont="1" applyFill="1" applyBorder="1" applyAlignment="1" applyProtection="1">
      <alignment horizontal="center"/>
      <protection locked="0" hidden="1"/>
    </xf>
    <xf numFmtId="178" fontId="0" fillId="5" borderId="1" xfId="0" applyNumberFormat="1" applyFill="1" applyBorder="1" applyAlignment="1" applyProtection="1">
      <alignment horizontal="center"/>
    </xf>
    <xf numFmtId="0" fontId="5" fillId="2" borderId="6" xfId="0" applyFont="1" applyFill="1" applyBorder="1" applyProtection="1">
      <protection locked="0" hidden="1"/>
    </xf>
    <xf numFmtId="0" fontId="0" fillId="5" borderId="13" xfId="0" applyFill="1" applyBorder="1" applyProtection="1"/>
    <xf numFmtId="0" fontId="0" fillId="5" borderId="11" xfId="0" applyFill="1" applyBorder="1" applyProtection="1"/>
    <xf numFmtId="0" fontId="0" fillId="7" borderId="12" xfId="0" applyFill="1" applyBorder="1" applyProtection="1"/>
    <xf numFmtId="0" fontId="0" fillId="7" borderId="12" xfId="0" applyFill="1" applyBorder="1" applyAlignment="1" applyProtection="1">
      <alignment horizontal="right"/>
    </xf>
    <xf numFmtId="0" fontId="0" fillId="7" borderId="15" xfId="0" applyFill="1" applyBorder="1" applyProtection="1"/>
    <xf numFmtId="0" fontId="11" fillId="5" borderId="0" xfId="0" applyFont="1" applyFill="1"/>
    <xf numFmtId="0" fontId="4" fillId="5" borderId="0" xfId="0" applyFont="1" applyFill="1" applyAlignment="1">
      <alignment horizontal="center"/>
    </xf>
    <xf numFmtId="0" fontId="4" fillId="5" borderId="0" xfId="0" applyFont="1" applyFill="1"/>
    <xf numFmtId="0" fontId="11" fillId="2" borderId="1" xfId="0" applyFont="1" applyFill="1" applyBorder="1"/>
    <xf numFmtId="0" fontId="11" fillId="6" borderId="0" xfId="0" applyFont="1" applyFill="1"/>
    <xf numFmtId="0" fontId="4" fillId="4" borderId="0" xfId="0" applyFont="1" applyFill="1"/>
    <xf numFmtId="0" fontId="4" fillId="7" borderId="0" xfId="0" applyFont="1" applyFill="1"/>
    <xf numFmtId="0" fontId="11" fillId="8" borderId="0" xfId="0" applyFont="1" applyFill="1"/>
    <xf numFmtId="0" fontId="2" fillId="2" borderId="1" xfId="0" applyFont="1" applyFill="1" applyBorder="1" applyAlignment="1">
      <alignment horizontal="center"/>
    </xf>
    <xf numFmtId="0" fontId="2" fillId="2" borderId="1" xfId="0" applyFont="1" applyFill="1" applyBorder="1" applyAlignment="1">
      <alignment horizontal="center"/>
    </xf>
    <xf numFmtId="0" fontId="0" fillId="2" borderId="8" xfId="0" applyFill="1" applyBorder="1" applyAlignment="1">
      <alignment horizontal="center"/>
    </xf>
    <xf numFmtId="177" fontId="0" fillId="9" borderId="1" xfId="0" applyNumberFormat="1" applyFill="1" applyBorder="1" applyAlignment="1">
      <alignment horizontal="center"/>
    </xf>
    <xf numFmtId="0" fontId="2" fillId="2" borderId="11" xfId="0" applyFont="1" applyFill="1" applyBorder="1" applyAlignment="1">
      <alignment horizontal="left"/>
    </xf>
    <xf numFmtId="0" fontId="0" fillId="2" borderId="12" xfId="0" applyFill="1" applyBorder="1" applyAlignment="1">
      <alignment horizontal="center"/>
    </xf>
    <xf numFmtId="0" fontId="0" fillId="2" borderId="15" xfId="0" applyFill="1" applyBorder="1" applyAlignment="1">
      <alignment horizontal="center"/>
    </xf>
    <xf numFmtId="0" fontId="12" fillId="2" borderId="5" xfId="0" applyFont="1" applyFill="1" applyBorder="1" applyAlignment="1">
      <alignment horizontal="left"/>
    </xf>
    <xf numFmtId="0" fontId="0" fillId="2" borderId="0" xfId="0" applyFill="1" applyBorder="1" applyAlignment="1">
      <alignment horizontal="center"/>
    </xf>
    <xf numFmtId="0" fontId="0" fillId="2" borderId="6" xfId="0" applyFill="1" applyBorder="1" applyAlignment="1">
      <alignment horizontal="center"/>
    </xf>
    <xf numFmtId="0" fontId="0" fillId="2" borderId="5" xfId="0" applyFont="1" applyFill="1" applyBorder="1" applyAlignment="1">
      <alignment horizontal="left"/>
    </xf>
    <xf numFmtId="0" fontId="0" fillId="2" borderId="0" xfId="0" applyFill="1" applyBorder="1" applyAlignment="1">
      <alignment horizontal="left"/>
    </xf>
    <xf numFmtId="0" fontId="0" fillId="2" borderId="5" xfId="0" applyFont="1" applyFill="1" applyBorder="1" applyAlignment="1">
      <alignment horizontal="center"/>
    </xf>
    <xf numFmtId="0" fontId="0" fillId="2" borderId="7" xfId="0" applyFont="1" applyFill="1" applyBorder="1" applyAlignment="1">
      <alignment horizontal="center"/>
    </xf>
    <xf numFmtId="0" fontId="0" fillId="2" borderId="9" xfId="0" applyFill="1" applyBorder="1" applyAlignment="1">
      <alignment horizontal="center"/>
    </xf>
    <xf numFmtId="0" fontId="2" fillId="5" borderId="0" xfId="0" applyFont="1" applyFill="1" applyBorder="1" applyAlignment="1">
      <alignment horizontal="center"/>
    </xf>
    <xf numFmtId="0" fontId="13" fillId="5" borderId="0" xfId="0" applyFont="1" applyFill="1" applyBorder="1" applyAlignment="1" applyProtection="1">
      <alignment horizontal="left"/>
      <protection locked="0" hidden="1"/>
    </xf>
    <xf numFmtId="0" fontId="2" fillId="2" borderId="1" xfId="0" applyFont="1" applyFill="1" applyBorder="1" applyAlignment="1">
      <alignment horizontal="center"/>
    </xf>
    <xf numFmtId="0" fontId="2" fillId="2" borderId="16" xfId="0" applyFont="1" applyFill="1" applyBorder="1" applyAlignment="1">
      <alignment horizontal="center"/>
    </xf>
    <xf numFmtId="0" fontId="0" fillId="2" borderId="17" xfId="0" applyFill="1" applyBorder="1" applyAlignment="1">
      <alignment horizontal="center"/>
    </xf>
    <xf numFmtId="0" fontId="0" fillId="5" borderId="1" xfId="0" applyFill="1" applyBorder="1" applyAlignment="1">
      <alignment horizontal="center"/>
    </xf>
    <xf numFmtId="0" fontId="14" fillId="5" borderId="10" xfId="0" applyFont="1" applyFill="1" applyBorder="1" applyProtection="1"/>
    <xf numFmtId="0" fontId="14" fillId="5" borderId="14" xfId="0" applyFont="1" applyFill="1" applyBorder="1" applyProtection="1"/>
    <xf numFmtId="0" fontId="0" fillId="8" borderId="6" xfId="0" applyFill="1" applyBorder="1" applyAlignment="1">
      <alignment horizontal="right"/>
    </xf>
    <xf numFmtId="0" fontId="2" fillId="2" borderId="1" xfId="0" applyFont="1" applyFill="1" applyBorder="1" applyAlignment="1">
      <alignment horizontal="center"/>
    </xf>
    <xf numFmtId="0" fontId="4" fillId="0" borderId="0" xfId="0" applyFont="1" applyFill="1"/>
    <xf numFmtId="0" fontId="3" fillId="2" borderId="0" xfId="0" applyFont="1" applyFill="1" applyBorder="1" applyAlignment="1" applyProtection="1">
      <alignment horizontal="left"/>
    </xf>
    <xf numFmtId="0" fontId="3" fillId="2" borderId="0" xfId="0" applyFont="1" applyFill="1" applyBorder="1" applyProtection="1"/>
    <xf numFmtId="180" fontId="0" fillId="6" borderId="0" xfId="0" applyNumberFormat="1" applyFill="1"/>
    <xf numFmtId="0" fontId="0" fillId="8" borderId="0" xfId="0" applyFill="1"/>
    <xf numFmtId="181" fontId="0" fillId="6" borderId="0" xfId="0" applyNumberFormat="1" applyFill="1" applyAlignment="1">
      <alignment horizontal="center"/>
    </xf>
    <xf numFmtId="0" fontId="0" fillId="2" borderId="0" xfId="0" applyFont="1" applyFill="1" applyBorder="1" applyAlignment="1" applyProtection="1">
      <alignment horizontal="center"/>
    </xf>
    <xf numFmtId="0" fontId="5" fillId="2" borderId="0" xfId="0" applyFont="1" applyFill="1" applyBorder="1" applyProtection="1">
      <protection locked="0"/>
    </xf>
    <xf numFmtId="0" fontId="0" fillId="6" borderId="6" xfId="0" applyFill="1" applyBorder="1" applyAlignment="1">
      <alignment horizontal="right"/>
    </xf>
    <xf numFmtId="0" fontId="0" fillId="4" borderId="1" xfId="0" applyFont="1" applyFill="1" applyBorder="1" applyAlignment="1">
      <alignment horizontal="center" wrapText="1"/>
    </xf>
    <xf numFmtId="0" fontId="4" fillId="7" borderId="0" xfId="0" applyFont="1" applyFill="1" applyAlignment="1">
      <alignment wrapText="1"/>
    </xf>
    <xf numFmtId="0" fontId="0" fillId="0" borderId="1" xfId="0" applyFont="1" applyFill="1" applyBorder="1" applyAlignment="1">
      <alignment horizontal="center"/>
    </xf>
    <xf numFmtId="0" fontId="8" fillId="5" borderId="3" xfId="1" applyFont="1" applyFill="1" applyBorder="1" applyAlignment="1" applyProtection="1">
      <alignment horizontal="center" vertical="center"/>
    </xf>
    <xf numFmtId="0" fontId="8" fillId="5" borderId="0" xfId="1" applyFont="1" applyFill="1" applyBorder="1" applyAlignment="1" applyProtection="1">
      <alignment horizontal="center" vertical="center"/>
    </xf>
    <xf numFmtId="0" fontId="2" fillId="2" borderId="1" xfId="0" applyFont="1" applyFill="1" applyBorder="1" applyAlignment="1">
      <alignment horizontal="center"/>
    </xf>
  </cellXfs>
  <cellStyles count="2">
    <cellStyle name="Lien hypertexte" xfId="1" builtinId="8"/>
    <cellStyle name="Normal" xfId="0" builtinId="0"/>
  </cellStyles>
  <dxfs count="50">
    <dxf>
      <fill>
        <patternFill>
          <bgColor rgb="FF92D050"/>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s>
  <tableStyles count="0" defaultTableStyle="TableStyleMedium9" defaultPivotStyle="PivotStyleLight16"/>
  <colors>
    <mruColors>
      <color rgb="FFD9D9D9"/>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'Calculation table'!$E$29</c:f>
              <c:strCache>
                <c:ptCount val="1"/>
                <c:pt idx="0">
                  <c:v>String Voc max.</c:v>
                </c:pt>
              </c:strCache>
            </c:strRef>
          </c:tx>
          <c:spPr>
            <a:ln>
              <a:solidFill>
                <a:srgbClr val="0070C0"/>
              </a:solidFill>
            </a:ln>
          </c:spPr>
          <c:marker>
            <c:symbol val="none"/>
          </c:marker>
          <c:xVal>
            <c:numRef>
              <c:f>'Calculation table'!$A$30:$A$33</c:f>
              <c:numCache>
                <c:formatCode>General</c:formatCode>
                <c:ptCount val="4"/>
                <c:pt idx="0" formatCode="General\ &quot;°C&quot;">
                  <c:v>0</c:v>
                </c:pt>
                <c:pt idx="1">
                  <c:v>5</c:v>
                </c:pt>
                <c:pt idx="2">
                  <c:v>10</c:v>
                </c:pt>
                <c:pt idx="3">
                  <c:v>15</c:v>
                </c:pt>
              </c:numCache>
            </c:numRef>
          </c:xVal>
          <c:yVal>
            <c:numRef>
              <c:f>'Calculation table'!$E$30:$E$33</c:f>
              <c:numCache>
                <c:formatCode>0.0\ "V"</c:formatCode>
                <c:ptCount val="4"/>
                <c:pt idx="0">
                  <c:v>122.75549999999998</c:v>
                </c:pt>
                <c:pt idx="1">
                  <c:v>120.88439999999999</c:v>
                </c:pt>
                <c:pt idx="2">
                  <c:v>119.01329999999999</c:v>
                </c:pt>
                <c:pt idx="3">
                  <c:v>117.14219999999999</c:v>
                </c:pt>
              </c:numCache>
            </c:numRef>
          </c:yVal>
          <c:smooth val="0"/>
          <c:extLst>
            <c:ext xmlns:c16="http://schemas.microsoft.com/office/drawing/2014/chart" uri="{C3380CC4-5D6E-409C-BE32-E72D297353CC}">
              <c16:uniqueId val="{00000000-4210-4A16-B05B-27FCDA9E9870}"/>
            </c:ext>
          </c:extLst>
        </c:ser>
        <c:ser>
          <c:idx val="7"/>
          <c:order val="1"/>
          <c:tx>
            <c:strRef>
              <c:f>'Calculation table'!$G$29</c:f>
              <c:strCache>
                <c:ptCount val="1"/>
                <c:pt idx="0">
                  <c:v>String Vmpp corr.max.</c:v>
                </c:pt>
              </c:strCache>
            </c:strRef>
          </c:tx>
          <c:spPr>
            <a:ln>
              <a:solidFill>
                <a:srgbClr val="00B0F0"/>
              </a:solidFill>
            </a:ln>
          </c:spPr>
          <c:marker>
            <c:symbol val="none"/>
          </c:marker>
          <c:xVal>
            <c:numRef>
              <c:f>'Calculation table'!$A$30:$A$33</c:f>
              <c:numCache>
                <c:formatCode>General</c:formatCode>
                <c:ptCount val="4"/>
                <c:pt idx="0" formatCode="General\ &quot;°C&quot;">
                  <c:v>0</c:v>
                </c:pt>
                <c:pt idx="1">
                  <c:v>5</c:v>
                </c:pt>
                <c:pt idx="2">
                  <c:v>10</c:v>
                </c:pt>
                <c:pt idx="3">
                  <c:v>15</c:v>
                </c:pt>
              </c:numCache>
            </c:numRef>
          </c:xVal>
          <c:yVal>
            <c:numRef>
              <c:f>'Calculation table'!$G$30:$G$33</c:f>
              <c:numCache>
                <c:formatCode>0.0</c:formatCode>
                <c:ptCount val="4"/>
                <c:pt idx="0">
                  <c:v>99.007717000000014</c:v>
                </c:pt>
                <c:pt idx="1">
                  <c:v>97.131282933333338</c:v>
                </c:pt>
                <c:pt idx="2">
                  <c:v>95.254848866666663</c:v>
                </c:pt>
                <c:pt idx="3">
                  <c:v>93.378414800000002</c:v>
                </c:pt>
              </c:numCache>
            </c:numRef>
          </c:yVal>
          <c:smooth val="0"/>
          <c:extLst>
            <c:ext xmlns:c16="http://schemas.microsoft.com/office/drawing/2014/chart" uri="{C3380CC4-5D6E-409C-BE32-E72D297353CC}">
              <c16:uniqueId val="{00000001-4210-4A16-B05B-27FCDA9E9870}"/>
            </c:ext>
          </c:extLst>
        </c:ser>
        <c:ser>
          <c:idx val="2"/>
          <c:order val="2"/>
          <c:tx>
            <c:strRef>
              <c:f>'Calculation table'!$H$29</c:f>
              <c:strCache>
                <c:ptCount val="1"/>
                <c:pt idx="0">
                  <c:v>String Voc min.</c:v>
                </c:pt>
              </c:strCache>
            </c:strRef>
          </c:tx>
          <c:spPr>
            <a:ln>
              <a:solidFill>
                <a:srgbClr val="FFC000"/>
              </a:solidFill>
            </a:ln>
          </c:spPr>
          <c:marker>
            <c:symbol val="none"/>
          </c:marker>
          <c:xVal>
            <c:numRef>
              <c:f>'Calculation table'!$A$34:$A$37</c:f>
              <c:numCache>
                <c:formatCode>General</c:formatCode>
                <c:ptCount val="4"/>
                <c:pt idx="0">
                  <c:v>55</c:v>
                </c:pt>
                <c:pt idx="1">
                  <c:v>60</c:v>
                </c:pt>
                <c:pt idx="2">
                  <c:v>65</c:v>
                </c:pt>
                <c:pt idx="3" formatCode="General\ &quot;°C&quot;">
                  <c:v>70</c:v>
                </c:pt>
              </c:numCache>
            </c:numRef>
          </c:xVal>
          <c:yVal>
            <c:numRef>
              <c:f>'Calculation table'!$H$34:$H$37</c:f>
              <c:numCache>
                <c:formatCode>0.0\ "V"</c:formatCode>
                <c:ptCount val="4"/>
                <c:pt idx="0">
                  <c:v>102.17339999999999</c:v>
                </c:pt>
                <c:pt idx="1">
                  <c:v>100.30229999999999</c:v>
                </c:pt>
                <c:pt idx="2">
                  <c:v>98.43119999999999</c:v>
                </c:pt>
                <c:pt idx="3">
                  <c:v>96.560099999999991</c:v>
                </c:pt>
              </c:numCache>
            </c:numRef>
          </c:yVal>
          <c:smooth val="0"/>
          <c:extLst>
            <c:ext xmlns:c16="http://schemas.microsoft.com/office/drawing/2014/chart" uri="{C3380CC4-5D6E-409C-BE32-E72D297353CC}">
              <c16:uniqueId val="{00000002-4210-4A16-B05B-27FCDA9E9870}"/>
            </c:ext>
          </c:extLst>
        </c:ser>
        <c:ser>
          <c:idx val="8"/>
          <c:order val="3"/>
          <c:tx>
            <c:strRef>
              <c:f>'Calculation table'!$J$29</c:f>
              <c:strCache>
                <c:ptCount val="1"/>
                <c:pt idx="0">
                  <c:v>String Vmpp corr. min.</c:v>
                </c:pt>
              </c:strCache>
            </c:strRef>
          </c:tx>
          <c:spPr>
            <a:ln>
              <a:solidFill>
                <a:srgbClr val="FFFF00"/>
              </a:solidFill>
            </a:ln>
          </c:spPr>
          <c:marker>
            <c:symbol val="none"/>
          </c:marker>
          <c:xVal>
            <c:numRef>
              <c:f>'Calculation table'!$A$34:$A$37</c:f>
              <c:numCache>
                <c:formatCode>General</c:formatCode>
                <c:ptCount val="4"/>
                <c:pt idx="0">
                  <c:v>55</c:v>
                </c:pt>
                <c:pt idx="1">
                  <c:v>60</c:v>
                </c:pt>
                <c:pt idx="2">
                  <c:v>65</c:v>
                </c:pt>
                <c:pt idx="3" formatCode="General\ &quot;°C&quot;">
                  <c:v>70</c:v>
                </c:pt>
              </c:numCache>
            </c:numRef>
          </c:xVal>
          <c:yVal>
            <c:numRef>
              <c:f>'Calculation table'!$J$34:$J$37</c:f>
              <c:numCache>
                <c:formatCode>0.0\ "V"</c:formatCode>
                <c:ptCount val="4"/>
                <c:pt idx="0">
                  <c:v>78.366942266666669</c:v>
                </c:pt>
                <c:pt idx="1">
                  <c:v>76.490508200000008</c:v>
                </c:pt>
                <c:pt idx="2">
                  <c:v>74.614074133333332</c:v>
                </c:pt>
                <c:pt idx="3">
                  <c:v>72.737640066666671</c:v>
                </c:pt>
              </c:numCache>
            </c:numRef>
          </c:yVal>
          <c:smooth val="0"/>
          <c:extLst>
            <c:ext xmlns:c16="http://schemas.microsoft.com/office/drawing/2014/chart" uri="{C3380CC4-5D6E-409C-BE32-E72D297353CC}">
              <c16:uniqueId val="{00000003-4210-4A16-B05B-27FCDA9E9870}"/>
            </c:ext>
          </c:extLst>
        </c:ser>
        <c:ser>
          <c:idx val="4"/>
          <c:order val="4"/>
          <c:tx>
            <c:strRef>
              <c:f>'Calculation table'!$B$29</c:f>
              <c:strCache>
                <c:ptCount val="1"/>
                <c:pt idx="0">
                  <c:v>Voc max.</c:v>
                </c:pt>
              </c:strCache>
            </c:strRef>
          </c:tx>
          <c:spPr>
            <a:ln>
              <a:solidFill>
                <a:srgbClr val="FF0000"/>
              </a:solidFill>
            </a:ln>
          </c:spPr>
          <c:marker>
            <c:symbol val="none"/>
          </c:marker>
          <c:xVal>
            <c:numRef>
              <c:f>'Calculation table'!$A$30:$A$37</c:f>
              <c:numCache>
                <c:formatCode>General</c:formatCode>
                <c:ptCount val="8"/>
                <c:pt idx="0" formatCode="General\ &quot;°C&quot;">
                  <c:v>0</c:v>
                </c:pt>
                <c:pt idx="1">
                  <c:v>5</c:v>
                </c:pt>
                <c:pt idx="2">
                  <c:v>10</c:v>
                </c:pt>
                <c:pt idx="3">
                  <c:v>15</c:v>
                </c:pt>
                <c:pt idx="4">
                  <c:v>55</c:v>
                </c:pt>
                <c:pt idx="5">
                  <c:v>60</c:v>
                </c:pt>
                <c:pt idx="6">
                  <c:v>65</c:v>
                </c:pt>
                <c:pt idx="7" formatCode="General\ &quot;°C&quot;">
                  <c:v>70</c:v>
                </c:pt>
              </c:numCache>
            </c:numRef>
          </c:xVal>
          <c:yVal>
            <c:numRef>
              <c:f>'Calculation table'!$B$30:$B$37</c:f>
              <c:numCache>
                <c:formatCode>0.0\ "V"</c:formatCode>
                <c:ptCount val="8"/>
                <c:pt idx="0">
                  <c:v>150</c:v>
                </c:pt>
                <c:pt idx="1">
                  <c:v>150</c:v>
                </c:pt>
                <c:pt idx="2">
                  <c:v>150</c:v>
                </c:pt>
                <c:pt idx="3">
                  <c:v>150</c:v>
                </c:pt>
                <c:pt idx="4">
                  <c:v>150</c:v>
                </c:pt>
                <c:pt idx="5">
                  <c:v>150</c:v>
                </c:pt>
                <c:pt idx="6">
                  <c:v>150</c:v>
                </c:pt>
                <c:pt idx="7">
                  <c:v>150</c:v>
                </c:pt>
              </c:numCache>
            </c:numRef>
          </c:yVal>
          <c:smooth val="0"/>
          <c:extLst>
            <c:ext xmlns:c16="http://schemas.microsoft.com/office/drawing/2014/chart" uri="{C3380CC4-5D6E-409C-BE32-E72D297353CC}">
              <c16:uniqueId val="{00000004-4210-4A16-B05B-27FCDA9E9870}"/>
            </c:ext>
          </c:extLst>
        </c:ser>
        <c:ser>
          <c:idx val="5"/>
          <c:order val="5"/>
          <c:tx>
            <c:strRef>
              <c:f>'Calculation table'!$C$29</c:f>
              <c:strCache>
                <c:ptCount val="1"/>
                <c:pt idx="0">
                  <c:v>Voc START min.</c:v>
                </c:pt>
              </c:strCache>
            </c:strRef>
          </c:tx>
          <c:spPr>
            <a:ln>
              <a:solidFill>
                <a:schemeClr val="tx2">
                  <a:lumMod val="20000"/>
                  <a:lumOff val="80000"/>
                </a:schemeClr>
              </a:solidFill>
              <a:prstDash val="dash"/>
            </a:ln>
          </c:spPr>
          <c:marker>
            <c:symbol val="none"/>
          </c:marker>
          <c:xVal>
            <c:numRef>
              <c:f>'Calculation table'!$A$30:$A$37</c:f>
              <c:numCache>
                <c:formatCode>General</c:formatCode>
                <c:ptCount val="8"/>
                <c:pt idx="0" formatCode="General\ &quot;°C&quot;">
                  <c:v>0</c:v>
                </c:pt>
                <c:pt idx="1">
                  <c:v>5</c:v>
                </c:pt>
                <c:pt idx="2">
                  <c:v>10</c:v>
                </c:pt>
                <c:pt idx="3">
                  <c:v>15</c:v>
                </c:pt>
                <c:pt idx="4">
                  <c:v>55</c:v>
                </c:pt>
                <c:pt idx="5">
                  <c:v>60</c:v>
                </c:pt>
                <c:pt idx="6">
                  <c:v>65</c:v>
                </c:pt>
                <c:pt idx="7" formatCode="General\ &quot;°C&quot;">
                  <c:v>70</c:v>
                </c:pt>
              </c:numCache>
            </c:numRef>
          </c:xVal>
          <c:yVal>
            <c:numRef>
              <c:f>'Calculation table'!$C$30:$C$37</c:f>
              <c:numCache>
                <c:formatCode>0.0\ "V"</c:formatCode>
                <c:ptCount val="8"/>
                <c:pt idx="0">
                  <c:v>53</c:v>
                </c:pt>
                <c:pt idx="1">
                  <c:v>53</c:v>
                </c:pt>
                <c:pt idx="2">
                  <c:v>53</c:v>
                </c:pt>
                <c:pt idx="3">
                  <c:v>53</c:v>
                </c:pt>
                <c:pt idx="4">
                  <c:v>53</c:v>
                </c:pt>
                <c:pt idx="5">
                  <c:v>53</c:v>
                </c:pt>
                <c:pt idx="6">
                  <c:v>53</c:v>
                </c:pt>
                <c:pt idx="7">
                  <c:v>53</c:v>
                </c:pt>
              </c:numCache>
            </c:numRef>
          </c:yVal>
          <c:smooth val="0"/>
          <c:extLst>
            <c:ext xmlns:c16="http://schemas.microsoft.com/office/drawing/2014/chart" uri="{C3380CC4-5D6E-409C-BE32-E72D297353CC}">
              <c16:uniqueId val="{00000005-4210-4A16-B05B-27FCDA9E9870}"/>
            </c:ext>
          </c:extLst>
        </c:ser>
        <c:ser>
          <c:idx val="6"/>
          <c:order val="6"/>
          <c:tx>
            <c:strRef>
              <c:f>'Calculation table'!$D$29</c:f>
              <c:strCache>
                <c:ptCount val="1"/>
                <c:pt idx="0">
                  <c:v>Vmpp RUN min.</c:v>
                </c:pt>
              </c:strCache>
            </c:strRef>
          </c:tx>
          <c:marker>
            <c:symbol val="none"/>
          </c:marker>
          <c:xVal>
            <c:numRef>
              <c:f>'Calculation table'!$A$30:$A$37</c:f>
              <c:numCache>
                <c:formatCode>General</c:formatCode>
                <c:ptCount val="8"/>
                <c:pt idx="0" formatCode="General\ &quot;°C&quot;">
                  <c:v>0</c:v>
                </c:pt>
                <c:pt idx="1">
                  <c:v>5</c:v>
                </c:pt>
                <c:pt idx="2">
                  <c:v>10</c:v>
                </c:pt>
                <c:pt idx="3">
                  <c:v>15</c:v>
                </c:pt>
                <c:pt idx="4">
                  <c:v>55</c:v>
                </c:pt>
                <c:pt idx="5">
                  <c:v>60</c:v>
                </c:pt>
                <c:pt idx="6">
                  <c:v>65</c:v>
                </c:pt>
                <c:pt idx="7" formatCode="General\ &quot;°C&quot;">
                  <c:v>70</c:v>
                </c:pt>
              </c:numCache>
            </c:numRef>
          </c:xVal>
          <c:yVal>
            <c:numRef>
              <c:f>'Calculation table'!$D$30:$D$37</c:f>
              <c:numCache>
                <c:formatCode>0.0\ "V"</c:formatCode>
                <c:ptCount val="8"/>
                <c:pt idx="0">
                  <c:v>49</c:v>
                </c:pt>
                <c:pt idx="1">
                  <c:v>49</c:v>
                </c:pt>
                <c:pt idx="2">
                  <c:v>49</c:v>
                </c:pt>
                <c:pt idx="3">
                  <c:v>49</c:v>
                </c:pt>
                <c:pt idx="4">
                  <c:v>49</c:v>
                </c:pt>
                <c:pt idx="5">
                  <c:v>49</c:v>
                </c:pt>
                <c:pt idx="6">
                  <c:v>49</c:v>
                </c:pt>
                <c:pt idx="7">
                  <c:v>49</c:v>
                </c:pt>
              </c:numCache>
            </c:numRef>
          </c:yVal>
          <c:smooth val="0"/>
          <c:extLst>
            <c:ext xmlns:c16="http://schemas.microsoft.com/office/drawing/2014/chart" uri="{C3380CC4-5D6E-409C-BE32-E72D297353CC}">
              <c16:uniqueId val="{00000006-4210-4A16-B05B-27FCDA9E9870}"/>
            </c:ext>
          </c:extLst>
        </c:ser>
        <c:dLbls>
          <c:showLegendKey val="0"/>
          <c:showVal val="0"/>
          <c:showCatName val="0"/>
          <c:showSerName val="0"/>
          <c:showPercent val="0"/>
          <c:showBubbleSize val="0"/>
        </c:dLbls>
        <c:axId val="172652936"/>
        <c:axId val="172651368"/>
      </c:scatterChart>
      <c:valAx>
        <c:axId val="172652936"/>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2651368"/>
        <c:crosses val="autoZero"/>
        <c:crossBetween val="midCat"/>
      </c:valAx>
      <c:valAx>
        <c:axId val="172651368"/>
        <c:scaling>
          <c:orientation val="minMax"/>
        </c:scaling>
        <c:delete val="0"/>
        <c:axPos val="l"/>
        <c:majorGridlines/>
        <c:numFmt formatCode="0.0\ &quot;V&quot;" sourceLinked="1"/>
        <c:majorTickMark val="out"/>
        <c:minorTickMark val="none"/>
        <c:tickLblPos val="nextTo"/>
        <c:crossAx val="172652936"/>
        <c:crosses val="autoZero"/>
        <c:crossBetween val="midCat"/>
      </c:valAx>
    </c:plotArea>
    <c:legend>
      <c:legendPos val="b"/>
      <c:layout>
        <c:manualLayout>
          <c:xMode val="edge"/>
          <c:yMode val="edge"/>
          <c:x val="4.3956457634030787E-3"/>
          <c:y val="0.81327489133440811"/>
          <c:w val="0.98913992324664601"/>
          <c:h val="0.18672510866559175"/>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84656084656082E-2"/>
          <c:y val="2.7721641703453079E-2"/>
          <c:w val="0.88187830687830693"/>
          <c:h val="0.76470145296697156"/>
        </c:manualLayout>
      </c:layout>
      <c:scatterChart>
        <c:scatterStyle val="lineMarker"/>
        <c:varyColors val="0"/>
        <c:ser>
          <c:idx val="0"/>
          <c:order val="0"/>
          <c:tx>
            <c:strRef>
              <c:f>'Calculation table'!$B$39</c:f>
              <c:strCache>
                <c:ptCount val="1"/>
                <c:pt idx="0">
                  <c:v>Ibat max.</c:v>
                </c:pt>
              </c:strCache>
            </c:strRef>
          </c:tx>
          <c:spPr>
            <a:ln>
              <a:solidFill>
                <a:srgbClr val="FF0000"/>
              </a:solidFill>
            </a:ln>
          </c:spPr>
          <c:marker>
            <c:symbol val="none"/>
          </c:marker>
          <c:xVal>
            <c:numRef>
              <c:f>'Calculation table'!$A$40:$A$47</c:f>
              <c:numCache>
                <c:formatCode>General\ "°C"</c:formatCode>
                <c:ptCount val="8"/>
                <c:pt idx="0">
                  <c:v>0</c:v>
                </c:pt>
                <c:pt idx="1">
                  <c:v>5</c:v>
                </c:pt>
                <c:pt idx="2" formatCode="General">
                  <c:v>10</c:v>
                </c:pt>
                <c:pt idx="3" formatCode="General">
                  <c:v>15</c:v>
                </c:pt>
                <c:pt idx="4" formatCode="General">
                  <c:v>55</c:v>
                </c:pt>
                <c:pt idx="5" formatCode="General">
                  <c:v>60</c:v>
                </c:pt>
                <c:pt idx="6" formatCode="General">
                  <c:v>65</c:v>
                </c:pt>
                <c:pt idx="7">
                  <c:v>70</c:v>
                </c:pt>
              </c:numCache>
            </c:numRef>
          </c:xVal>
          <c:yVal>
            <c:numRef>
              <c:f>'Calculation table'!$B$40:$B$47</c:f>
              <c:numCache>
                <c:formatCode>0.0\ "A"</c:formatCode>
                <c:ptCount val="8"/>
                <c:pt idx="0">
                  <c:v>70</c:v>
                </c:pt>
                <c:pt idx="1">
                  <c:v>70</c:v>
                </c:pt>
                <c:pt idx="2">
                  <c:v>70</c:v>
                </c:pt>
                <c:pt idx="3">
                  <c:v>70</c:v>
                </c:pt>
                <c:pt idx="4">
                  <c:v>70</c:v>
                </c:pt>
                <c:pt idx="5">
                  <c:v>70</c:v>
                </c:pt>
                <c:pt idx="6">
                  <c:v>70</c:v>
                </c:pt>
                <c:pt idx="7">
                  <c:v>70</c:v>
                </c:pt>
              </c:numCache>
            </c:numRef>
          </c:yVal>
          <c:smooth val="0"/>
          <c:extLst>
            <c:ext xmlns:c16="http://schemas.microsoft.com/office/drawing/2014/chart" uri="{C3380CC4-5D6E-409C-BE32-E72D297353CC}">
              <c16:uniqueId val="{00000000-B09E-4857-8F75-5A4943C07D55}"/>
            </c:ext>
          </c:extLst>
        </c:ser>
        <c:ser>
          <c:idx val="2"/>
          <c:order val="1"/>
          <c:tx>
            <c:strRef>
              <c:f>'Calculation table'!$E$39</c:f>
              <c:strCache>
                <c:ptCount val="1"/>
                <c:pt idx="0">
                  <c:v>Ibat max. @ Impp</c:v>
                </c:pt>
              </c:strCache>
            </c:strRef>
          </c:tx>
          <c:spPr>
            <a:ln>
              <a:solidFill>
                <a:srgbClr val="0070C0"/>
              </a:solidFill>
            </a:ln>
          </c:spPr>
          <c:marker>
            <c:symbol val="none"/>
          </c:marker>
          <c:xVal>
            <c:numRef>
              <c:f>'Calculation table'!$A$40:$A$43</c:f>
              <c:numCache>
                <c:formatCode>General\ "°C"</c:formatCode>
                <c:ptCount val="4"/>
                <c:pt idx="0">
                  <c:v>0</c:v>
                </c:pt>
                <c:pt idx="1">
                  <c:v>5</c:v>
                </c:pt>
                <c:pt idx="2" formatCode="General">
                  <c:v>10</c:v>
                </c:pt>
                <c:pt idx="3" formatCode="General">
                  <c:v>15</c:v>
                </c:pt>
              </c:numCache>
            </c:numRef>
          </c:xVal>
          <c:yVal>
            <c:numRef>
              <c:f>'Calculation table'!$E$40:$E$43</c:f>
              <c:numCache>
                <c:formatCode>0.00\ "A"</c:formatCode>
                <c:ptCount val="4"/>
                <c:pt idx="0">
                  <c:v>69.435157791562503</c:v>
                </c:pt>
                <c:pt idx="1">
                  <c:v>68.330847037599995</c:v>
                </c:pt>
                <c:pt idx="2">
                  <c:v>67.219667631462485</c:v>
                </c:pt>
                <c:pt idx="3">
                  <c:v>66.101619573150003</c:v>
                </c:pt>
              </c:numCache>
            </c:numRef>
          </c:yVal>
          <c:smooth val="0"/>
          <c:extLst>
            <c:ext xmlns:c16="http://schemas.microsoft.com/office/drawing/2014/chart" uri="{C3380CC4-5D6E-409C-BE32-E72D297353CC}">
              <c16:uniqueId val="{00000001-B09E-4857-8F75-5A4943C07D55}"/>
            </c:ext>
          </c:extLst>
        </c:ser>
        <c:ser>
          <c:idx val="4"/>
          <c:order val="2"/>
          <c:tx>
            <c:strRef>
              <c:f>'Calculation table'!$F$39</c:f>
              <c:strCache>
                <c:ptCount val="1"/>
                <c:pt idx="0">
                  <c:v>Ibat min. @ Impp</c:v>
                </c:pt>
              </c:strCache>
            </c:strRef>
          </c:tx>
          <c:spPr>
            <a:ln>
              <a:solidFill>
                <a:srgbClr val="FFC000"/>
              </a:solidFill>
            </a:ln>
          </c:spPr>
          <c:marker>
            <c:symbol val="none"/>
          </c:marker>
          <c:xVal>
            <c:numRef>
              <c:f>'Calculation table'!$A$44:$A$47</c:f>
              <c:numCache>
                <c:formatCode>General</c:formatCode>
                <c:ptCount val="4"/>
                <c:pt idx="0">
                  <c:v>55</c:v>
                </c:pt>
                <c:pt idx="1">
                  <c:v>60</c:v>
                </c:pt>
                <c:pt idx="2">
                  <c:v>65</c:v>
                </c:pt>
                <c:pt idx="3" formatCode="General\ &quot;°C&quot;">
                  <c:v>70</c:v>
                </c:pt>
              </c:numCache>
            </c:numRef>
          </c:xVal>
          <c:yVal>
            <c:numRef>
              <c:f>'Calculation table'!$F$44:$F$47</c:f>
              <c:numCache>
                <c:formatCode>0.00\ "A"</c:formatCode>
                <c:ptCount val="4"/>
                <c:pt idx="0">
                  <c:v>56.909963628349999</c:v>
                </c:pt>
                <c:pt idx="1">
                  <c:v>55.730097700462494</c:v>
                </c:pt>
                <c:pt idx="2">
                  <c:v>54.543363120399995</c:v>
                </c:pt>
                <c:pt idx="3">
                  <c:v>53.349759888162502</c:v>
                </c:pt>
              </c:numCache>
            </c:numRef>
          </c:yVal>
          <c:smooth val="0"/>
          <c:extLst>
            <c:ext xmlns:c16="http://schemas.microsoft.com/office/drawing/2014/chart" uri="{C3380CC4-5D6E-409C-BE32-E72D297353CC}">
              <c16:uniqueId val="{00000002-B09E-4857-8F75-5A4943C07D55}"/>
            </c:ext>
          </c:extLst>
        </c:ser>
        <c:dLbls>
          <c:showLegendKey val="0"/>
          <c:showVal val="0"/>
          <c:showCatName val="0"/>
          <c:showSerName val="0"/>
          <c:showPercent val="0"/>
          <c:showBubbleSize val="0"/>
        </c:dLbls>
        <c:axId val="172661168"/>
        <c:axId val="172659600"/>
      </c:scatterChart>
      <c:valAx>
        <c:axId val="172661168"/>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2659600"/>
        <c:crosses val="autoZero"/>
        <c:crossBetween val="midCat"/>
      </c:valAx>
      <c:valAx>
        <c:axId val="172659600"/>
        <c:scaling>
          <c:orientation val="minMax"/>
          <c:min val="0"/>
        </c:scaling>
        <c:delete val="0"/>
        <c:axPos val="l"/>
        <c:majorGridlines/>
        <c:numFmt formatCode="0.0\ &quot;A&quot;" sourceLinked="1"/>
        <c:majorTickMark val="out"/>
        <c:minorTickMark val="none"/>
        <c:tickLblPos val="nextTo"/>
        <c:crossAx val="172661168"/>
        <c:crosses val="autoZero"/>
        <c:crossBetween val="midCat"/>
      </c:valAx>
    </c:plotArea>
    <c:legend>
      <c:legendPos val="b"/>
      <c:layout>
        <c:manualLayout>
          <c:xMode val="edge"/>
          <c:yMode val="edge"/>
          <c:x val="0.12659500895721371"/>
          <c:y val="0.88743340482042055"/>
          <c:w val="0.77855580552431036"/>
          <c:h val="4.5150827319547393E-2"/>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trlProps/ctrlProp1.xml><?xml version="1.0" encoding="utf-8"?>
<formControlPr xmlns="http://schemas.microsoft.com/office/spreadsheetml/2009/9/main" objectType="Drop" dropLines="13" dropStyle="combo" dx="22" fmlaLink="$D$4" fmlaRange="Modules!$A$3:$A$29" sel="24" val="14"/>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Spin" dx="22" fmlaLink="$E$17" max="100" min="1" page="10" val="10"/>
</file>

<file path=xl/ctrlProps/ctrlProp14.xml><?xml version="1.0" encoding="utf-8"?>
<formControlPr xmlns="http://schemas.microsoft.com/office/spreadsheetml/2009/9/main" objectType="Spin" dx="22" fmlaLink="$H$17" max="7" min="1" page="10" val="3"/>
</file>

<file path=xl/ctrlProps/ctrlProp15.xml><?xml version="1.0" encoding="utf-8"?>
<formControlPr xmlns="http://schemas.microsoft.com/office/spreadsheetml/2009/9/main" objectType="CheckBox" fmlaLink="$J$32" lockText="1" noThreeD="1"/>
</file>

<file path=xl/ctrlProps/ctrlProp2.xml><?xml version="1.0" encoding="utf-8"?>
<formControlPr xmlns="http://schemas.microsoft.com/office/spreadsheetml/2009/9/main" objectType="Drop" dropStyle="combo" dx="22" fmlaLink="$D$13" fmlaRange="Regulator!$C$2:$C$19" sel="10" val="8"/>
</file>

<file path=xl/ctrlProps/ctrlProp3.xml><?xml version="1.0" encoding="utf-8"?>
<formControlPr xmlns="http://schemas.microsoft.com/office/spreadsheetml/2009/9/main" objectType="Drop" dropLines="4" dropStyle="combo" dx="22" fmlaLink="$E$15" fmlaRange="Form!$J$12:$J$15" sel="4" val="0"/>
</file>

<file path=xl/ctrlProps/ctrlProp4.xml><?xml version="1.0" encoding="utf-8"?>
<formControlPr xmlns="http://schemas.microsoft.com/office/spreadsheetml/2009/9/main" objectType="Spin" dx="16" fmlaLink="$D$6" max="50" min="1" page="10" val="3"/>
</file>

<file path=xl/ctrlProps/ctrlProp5.xml><?xml version="1.0" encoding="utf-8"?>
<formControlPr xmlns="http://schemas.microsoft.com/office/spreadsheetml/2009/9/main" objectType="Spin" dx="16" fmlaLink="$G$6" max="50" min="1" page="10" val="4"/>
</file>

<file path=xl/ctrlProps/ctrlProp6.xml><?xml version="1.0" encoding="utf-8"?>
<formControlPr xmlns="http://schemas.microsoft.com/office/spreadsheetml/2009/9/main" objectType="Spin" dx="22" fmlaLink="$E$12" max="125" page="10" val="25"/>
</file>

<file path=xl/ctrlProps/ctrlProp7.xml><?xml version="1.0" encoding="utf-8"?>
<formControlPr xmlns="http://schemas.microsoft.com/office/spreadsheetml/2009/9/main" objectType="Spin" dx="22" fmlaLink="$G$11" max="100" page="10" val="70"/>
</file>

<file path=xl/ctrlProps/ctrlProp8.xml><?xml version="1.0" encoding="utf-8"?>
<formControlPr xmlns="http://schemas.microsoft.com/office/spreadsheetml/2009/9/main" objectType="Radio" checked="Checked" firstButton="1" fmlaLink="$H$3"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3" Type="http://schemas.openxmlformats.org/officeDocument/2006/relationships/chart" Target="../charts/chart1.xml"/><Relationship Id="rId7"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hyperlink" Target="http://www.victronenergy.com/" TargetMode="External"/><Relationship Id="rId6" Type="http://schemas.openxmlformats.org/officeDocument/2006/relationships/image" Target="../media/image3.jpeg"/><Relationship Id="rId5" Type="http://schemas.openxmlformats.org/officeDocument/2006/relationships/image" Target="../media/image2.jpeg"/><Relationship Id="rId4" Type="http://schemas.openxmlformats.org/officeDocument/2006/relationships/chart" Target="../charts/chart2.xml"/><Relationship Id="rId9"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1</xdr:row>
      <xdr:rowOff>178707</xdr:rowOff>
    </xdr:to>
    <xdr:pic>
      <xdr:nvPicPr>
        <xdr:cNvPr id="1053" name="Picture 1" descr="logo kleur.jpg">
          <a:hlinkClick xmlns:r="http://schemas.openxmlformats.org/officeDocument/2006/relationships" r:id="rId1"/>
        </xdr:cNvPr>
        <xdr:cNvPicPr>
          <a:picLocks noChangeAspect="1"/>
        </xdr:cNvPicPr>
      </xdr:nvPicPr>
      <xdr:blipFill>
        <a:blip xmlns:r="http://schemas.openxmlformats.org/officeDocument/2006/relationships" r:embed="rId2"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0" y="0"/>
          <a:ext cx="1676400" cy="369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8</xdr:col>
      <xdr:colOff>53975</xdr:colOff>
      <xdr:row>1</xdr:row>
      <xdr:rowOff>0</xdr:rowOff>
    </xdr:from>
    <xdr:to>
      <xdr:col>16</xdr:col>
      <xdr:colOff>482600</xdr:colOff>
      <xdr:row>26</xdr:row>
      <xdr:rowOff>19050</xdr:rowOff>
    </xdr:to>
    <xdr:graphicFrame macro="">
      <xdr:nvGraphicFramePr>
        <xdr:cNvPr id="1054" name="Chart 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16</xdr:col>
      <xdr:colOff>577850</xdr:colOff>
      <xdr:row>1</xdr:row>
      <xdr:rowOff>0</xdr:rowOff>
    </xdr:from>
    <xdr:to>
      <xdr:col>24</xdr:col>
      <xdr:colOff>501650</xdr:colOff>
      <xdr:row>26</xdr:row>
      <xdr:rowOff>19050</xdr:rowOff>
    </xdr:to>
    <xdr:graphicFrame macro="">
      <xdr:nvGraphicFramePr>
        <xdr:cNvPr id="1055" name="Chart 10"/>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628650</xdr:colOff>
      <xdr:row>0</xdr:row>
      <xdr:rowOff>28254</xdr:rowOff>
    </xdr:from>
    <xdr:to>
      <xdr:col>7</xdr:col>
      <xdr:colOff>806449</xdr:colOff>
      <xdr:row>1</xdr:row>
      <xdr:rowOff>9526</xdr:rowOff>
    </xdr:to>
    <xdr:pic>
      <xdr:nvPicPr>
        <xdr:cNvPr id="5" name="Picture 4" descr="ENG.jpg"/>
        <xdr:cNvPicPr>
          <a:picLocks noChangeAspect="1"/>
        </xdr:cNvPicPr>
      </xdr:nvPicPr>
      <xdr:blipFill>
        <a:blip xmlns:r="http://schemas.openxmlformats.org/officeDocument/2006/relationships" r:embed="rId5" cstate="print"/>
        <a:stretch>
          <a:fillRect/>
        </a:stretch>
      </xdr:blipFill>
      <xdr:spPr>
        <a:xfrm>
          <a:off x="5400675" y="28254"/>
          <a:ext cx="177799" cy="171772"/>
        </a:xfrm>
        <a:prstGeom prst="rect">
          <a:avLst/>
        </a:prstGeom>
      </xdr:spPr>
    </xdr:pic>
    <xdr:clientData/>
  </xdr:twoCellAnchor>
  <xdr:twoCellAnchor editAs="oneCell">
    <xdr:from>
      <xdr:col>7</xdr:col>
      <xdr:colOff>380744</xdr:colOff>
      <xdr:row>0</xdr:row>
      <xdr:rowOff>29295</xdr:rowOff>
    </xdr:from>
    <xdr:to>
      <xdr:col>7</xdr:col>
      <xdr:colOff>560140</xdr:colOff>
      <xdr:row>1</xdr:row>
      <xdr:rowOff>12110</xdr:rowOff>
    </xdr:to>
    <xdr:pic>
      <xdr:nvPicPr>
        <xdr:cNvPr id="6" name="Picture 5" descr="NL.jpg"/>
        <xdr:cNvPicPr>
          <a:picLocks noChangeAspect="1"/>
        </xdr:cNvPicPr>
      </xdr:nvPicPr>
      <xdr:blipFill>
        <a:blip xmlns:r="http://schemas.openxmlformats.org/officeDocument/2006/relationships" r:embed="rId6" cstate="print"/>
        <a:stretch>
          <a:fillRect/>
        </a:stretch>
      </xdr:blipFill>
      <xdr:spPr>
        <a:xfrm>
          <a:off x="5152769" y="29295"/>
          <a:ext cx="179396" cy="173315"/>
        </a:xfrm>
        <a:prstGeom prst="rect">
          <a:avLst/>
        </a:prstGeom>
      </xdr:spPr>
    </xdr:pic>
    <xdr:clientData/>
  </xdr:twoCellAnchor>
  <xdr:twoCellAnchor editAs="oneCell">
    <xdr:from>
      <xdr:col>7</xdr:col>
      <xdr:colOff>133095</xdr:colOff>
      <xdr:row>0</xdr:row>
      <xdr:rowOff>29295</xdr:rowOff>
    </xdr:from>
    <xdr:to>
      <xdr:col>7</xdr:col>
      <xdr:colOff>312491</xdr:colOff>
      <xdr:row>1</xdr:row>
      <xdr:rowOff>12110</xdr:rowOff>
    </xdr:to>
    <xdr:pic>
      <xdr:nvPicPr>
        <xdr:cNvPr id="7" name="Picture 6" descr="ES.jpg"/>
        <xdr:cNvPicPr>
          <a:picLocks noChangeAspect="1"/>
        </xdr:cNvPicPr>
      </xdr:nvPicPr>
      <xdr:blipFill>
        <a:blip xmlns:r="http://schemas.openxmlformats.org/officeDocument/2006/relationships" r:embed="rId7" cstate="print"/>
        <a:stretch>
          <a:fillRect/>
        </a:stretch>
      </xdr:blipFill>
      <xdr:spPr>
        <a:xfrm>
          <a:off x="4905120" y="29295"/>
          <a:ext cx="179396" cy="173315"/>
        </a:xfrm>
        <a:prstGeom prst="rect">
          <a:avLst/>
        </a:prstGeom>
      </xdr:spPr>
    </xdr:pic>
    <xdr:clientData/>
  </xdr:twoCellAnchor>
  <xdr:twoCellAnchor editAs="oneCell">
    <xdr:from>
      <xdr:col>6</xdr:col>
      <xdr:colOff>523620</xdr:colOff>
      <xdr:row>0</xdr:row>
      <xdr:rowOff>29295</xdr:rowOff>
    </xdr:from>
    <xdr:to>
      <xdr:col>7</xdr:col>
      <xdr:colOff>64841</xdr:colOff>
      <xdr:row>1</xdr:row>
      <xdr:rowOff>12110</xdr:rowOff>
    </xdr:to>
    <xdr:pic>
      <xdr:nvPicPr>
        <xdr:cNvPr id="8" name="Picture 7" descr="DE.jpg"/>
        <xdr:cNvPicPr>
          <a:picLocks noChangeAspect="1"/>
        </xdr:cNvPicPr>
      </xdr:nvPicPr>
      <xdr:blipFill>
        <a:blip xmlns:r="http://schemas.openxmlformats.org/officeDocument/2006/relationships" r:embed="rId8" cstate="print"/>
        <a:stretch>
          <a:fillRect/>
        </a:stretch>
      </xdr:blipFill>
      <xdr:spPr>
        <a:xfrm>
          <a:off x="4657470" y="29295"/>
          <a:ext cx="179396" cy="173315"/>
        </a:xfrm>
        <a:prstGeom prst="rect">
          <a:avLst/>
        </a:prstGeom>
      </xdr:spPr>
    </xdr:pic>
    <xdr:clientData/>
  </xdr:twoCellAnchor>
  <xdr:twoCellAnchor editAs="oneCell">
    <xdr:from>
      <xdr:col>6</xdr:col>
      <xdr:colOff>275970</xdr:colOff>
      <xdr:row>0</xdr:row>
      <xdr:rowOff>29295</xdr:rowOff>
    </xdr:from>
    <xdr:to>
      <xdr:col>6</xdr:col>
      <xdr:colOff>455366</xdr:colOff>
      <xdr:row>1</xdr:row>
      <xdr:rowOff>12110</xdr:rowOff>
    </xdr:to>
    <xdr:pic>
      <xdr:nvPicPr>
        <xdr:cNvPr id="9" name="Picture 8" descr="FR.jpg"/>
        <xdr:cNvPicPr>
          <a:picLocks noChangeAspect="1"/>
        </xdr:cNvPicPr>
      </xdr:nvPicPr>
      <xdr:blipFill>
        <a:blip xmlns:r="http://schemas.openxmlformats.org/officeDocument/2006/relationships" r:embed="rId9" cstate="print"/>
        <a:stretch>
          <a:fillRect/>
        </a:stretch>
      </xdr:blipFill>
      <xdr:spPr>
        <a:xfrm>
          <a:off x="4409820" y="29295"/>
          <a:ext cx="179396" cy="1733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7</xdr:col>
          <xdr:colOff>466725</xdr:colOff>
          <xdr:row>4</xdr:row>
          <xdr:rowOff>9525</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1381125</xdr:colOff>
          <xdr:row>12</xdr:row>
          <xdr:rowOff>19050</xdr:rowOff>
        </xdr:from>
        <xdr:to>
          <xdr:col>7</xdr:col>
          <xdr:colOff>457200</xdr:colOff>
          <xdr:row>13</xdr:row>
          <xdr:rowOff>38100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171450</xdr:rowOff>
        </xdr:from>
        <xdr:to>
          <xdr:col>4</xdr:col>
          <xdr:colOff>552450</xdr:colOff>
          <xdr:row>15</xdr:row>
          <xdr:rowOff>9525</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4</xdr:row>
          <xdr:rowOff>180975</xdr:rowOff>
        </xdr:from>
        <xdr:to>
          <xdr:col>4</xdr:col>
          <xdr:colOff>371475</xdr:colOff>
          <xdr:row>6</xdr:row>
          <xdr:rowOff>9525</xdr:rowOff>
        </xdr:to>
        <xdr:sp macro="" textlink="">
          <xdr:nvSpPr>
            <xdr:cNvPr id="1032" name="Spinner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180975</xdr:rowOff>
        </xdr:from>
        <xdr:to>
          <xdr:col>7</xdr:col>
          <xdr:colOff>390525</xdr:colOff>
          <xdr:row>6</xdr:row>
          <xdr:rowOff>9525</xdr:rowOff>
        </xdr:to>
        <xdr:sp macro="" textlink="">
          <xdr:nvSpPr>
            <xdr:cNvPr id="1033" name="Spinner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190500</xdr:rowOff>
        </xdr:from>
        <xdr:to>
          <xdr:col>5</xdr:col>
          <xdr:colOff>381000</xdr:colOff>
          <xdr:row>11</xdr:row>
          <xdr:rowOff>9525</xdr:rowOff>
        </xdr:to>
        <xdr:sp macro="" textlink="">
          <xdr:nvSpPr>
            <xdr:cNvPr id="1035" name="Spinner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9</xdr:row>
          <xdr:rowOff>190500</xdr:rowOff>
        </xdr:from>
        <xdr:to>
          <xdr:col>7</xdr:col>
          <xdr:colOff>381000</xdr:colOff>
          <xdr:row>11</xdr:row>
          <xdr:rowOff>9525</xdr:rowOff>
        </xdr:to>
        <xdr:sp macro="" textlink="">
          <xdr:nvSpPr>
            <xdr:cNvPr id="1037" name="Spinner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0</xdr:row>
          <xdr:rowOff>171450</xdr:rowOff>
        </xdr:from>
        <xdr:to>
          <xdr:col>6</xdr:col>
          <xdr:colOff>571500</xdr:colOff>
          <xdr:row>2</xdr:row>
          <xdr:rowOff>9525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0</xdr:row>
          <xdr:rowOff>171450</xdr:rowOff>
        </xdr:from>
        <xdr:to>
          <xdr:col>7</xdr:col>
          <xdr:colOff>180975</xdr:colOff>
          <xdr:row>2</xdr:row>
          <xdr:rowOff>9525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0</xdr:row>
          <xdr:rowOff>171450</xdr:rowOff>
        </xdr:from>
        <xdr:to>
          <xdr:col>7</xdr:col>
          <xdr:colOff>428625</xdr:colOff>
          <xdr:row>2</xdr:row>
          <xdr:rowOff>9525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0</xdr:row>
          <xdr:rowOff>171450</xdr:rowOff>
        </xdr:from>
        <xdr:to>
          <xdr:col>7</xdr:col>
          <xdr:colOff>676275</xdr:colOff>
          <xdr:row>2</xdr:row>
          <xdr:rowOff>9525</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0</xdr:row>
          <xdr:rowOff>171450</xdr:rowOff>
        </xdr:from>
        <xdr:to>
          <xdr:col>7</xdr:col>
          <xdr:colOff>914400</xdr:colOff>
          <xdr:row>2</xdr:row>
          <xdr:rowOff>9525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16</xdr:row>
          <xdr:rowOff>9525</xdr:rowOff>
        </xdr:from>
        <xdr:to>
          <xdr:col>5</xdr:col>
          <xdr:colOff>400050</xdr:colOff>
          <xdr:row>17</xdr:row>
          <xdr:rowOff>9525</xdr:rowOff>
        </xdr:to>
        <xdr:sp macro="" textlink="">
          <xdr:nvSpPr>
            <xdr:cNvPr id="1043" name="Spinner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15</xdr:row>
          <xdr:rowOff>190500</xdr:rowOff>
        </xdr:from>
        <xdr:to>
          <xdr:col>7</xdr:col>
          <xdr:colOff>381000</xdr:colOff>
          <xdr:row>17</xdr:row>
          <xdr:rowOff>19050</xdr:rowOff>
        </xdr:to>
        <xdr:sp macro="" textlink="">
          <xdr:nvSpPr>
            <xdr:cNvPr id="1044" name="Spinner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30</xdr:row>
          <xdr:rowOff>171450</xdr:rowOff>
        </xdr:from>
        <xdr:to>
          <xdr:col>7</xdr:col>
          <xdr:colOff>38100</xdr:colOff>
          <xdr:row>32</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victronenergy.com/solar/solar-charge-controller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C230"/>
  <sheetViews>
    <sheetView tabSelected="1" zoomScaleNormal="100" workbookViewId="0">
      <selection activeCell="H9" sqref="H9"/>
    </sheetView>
  </sheetViews>
  <sheetFormatPr baseColWidth="10" defaultColWidth="9.140625" defaultRowHeight="15" x14ac:dyDescent="0.25"/>
  <cols>
    <col min="1" max="1" width="1.7109375" style="10" customWidth="1"/>
    <col min="2" max="2" width="20.85546875" style="10" customWidth="1"/>
    <col min="3" max="3" width="6.28515625" style="10" customWidth="1"/>
    <col min="4" max="4" width="9.5703125" style="10" customWidth="1"/>
    <col min="5" max="5" width="8.85546875" style="10" customWidth="1"/>
    <col min="6" max="6" width="19.7109375" style="10" customWidth="1"/>
    <col min="7" max="7" width="9.5703125" style="10" customWidth="1"/>
    <col min="8" max="8" width="15.28515625" style="10" customWidth="1"/>
    <col min="9" max="9" width="1.28515625" style="57" customWidth="1"/>
    <col min="10" max="10" width="9.140625" style="57" customWidth="1"/>
    <col min="11" max="16" width="9.140625" style="57"/>
    <col min="17" max="17" width="9.140625" style="57" customWidth="1"/>
    <col min="18" max="55" width="9.140625" style="57"/>
    <col min="56" max="16384" width="9.140625" style="10"/>
  </cols>
  <sheetData>
    <row r="1" spans="1:18" x14ac:dyDescent="0.25">
      <c r="A1" s="7"/>
      <c r="B1" s="85"/>
      <c r="C1" s="85"/>
      <c r="D1" s="153" t="s">
        <v>49</v>
      </c>
      <c r="E1" s="153"/>
      <c r="F1" s="153"/>
      <c r="G1" s="8"/>
      <c r="H1" s="9"/>
      <c r="J1" s="59" t="str">
        <f>IF(H3=5,INDEX(Language!B4:F35,29,1),IF(H3=4,INDEX(Language!B4:F35,29,2),IF(H3=3,INDEX(Language!B4:F35,29,3),IF(H3=2,INDEX(Language!B4:F35,29,4),INDEX(Language!B4:F35,29,5)))))</f>
        <v>Fourchette de tension</v>
      </c>
      <c r="R1" s="59" t="str">
        <f>IF(H3=5,INDEX(Language!B4:F35,30,1),IF(H3=4,INDEX(Language!B4:F35,30,2),IF(H3=3,INDEX(Language!B4:F35,30,3),IF(H3=2,INDEX(Language!B4:F35,30,4),INDEX(Language!B4:F35,30,5)))))</f>
        <v>Fourchette de courant</v>
      </c>
    </row>
    <row r="2" spans="1:18" x14ac:dyDescent="0.25">
      <c r="A2" s="11"/>
      <c r="B2" s="86"/>
      <c r="C2" s="86"/>
      <c r="D2" s="154"/>
      <c r="E2" s="154"/>
      <c r="F2" s="154"/>
      <c r="G2" s="12"/>
      <c r="H2" s="13"/>
    </row>
    <row r="3" spans="1:18" x14ac:dyDescent="0.25">
      <c r="A3" s="14"/>
      <c r="B3" s="15"/>
      <c r="C3" s="15"/>
      <c r="D3" s="15"/>
      <c r="E3" s="15"/>
      <c r="F3" s="15"/>
      <c r="G3" s="15"/>
      <c r="H3" s="102">
        <v>1</v>
      </c>
    </row>
    <row r="4" spans="1:18" ht="15.75" customHeight="1" x14ac:dyDescent="0.25">
      <c r="A4" s="14"/>
      <c r="B4" s="15" t="str">
        <f>IF(H3=5,INDEX(Language!B4:F35,1,1),IF(H3=4,INDEX(Language!B4:F35,1,2),IF(H3=3,INDEX(Language!B4:F35,1,3),IF(H3=2,INDEX(Language!B4:F35,1,4),INDEX(Language!B4:F35,1,5)))))</f>
        <v>Panneau:</v>
      </c>
      <c r="C4" s="15"/>
      <c r="D4" s="6">
        <v>24</v>
      </c>
      <c r="E4" s="15"/>
      <c r="F4" s="15"/>
      <c r="G4" s="15"/>
      <c r="H4" s="16"/>
    </row>
    <row r="5" spans="1:18" ht="15" customHeight="1" x14ac:dyDescent="0.25">
      <c r="A5" s="14"/>
      <c r="B5" s="15"/>
      <c r="C5" s="15"/>
      <c r="D5" s="15"/>
      <c r="E5" s="15"/>
      <c r="F5" s="15"/>
      <c r="G5" s="15"/>
      <c r="H5" s="16"/>
    </row>
    <row r="6" spans="1:18" x14ac:dyDescent="0.25">
      <c r="A6" s="14"/>
      <c r="B6" s="15" t="str">
        <f>IF(H3=5,INDEX(Language!B4:F35,2,1),IF(H3=4,INDEX(Language!B4:F35,2,2),IF(H3=3,INDEX(Language!B4:F35,2,3),IF(H3=2,INDEX(Language!B4:F35,2,4),INDEX(Language!B4:F35,2,5)))))</f>
        <v>En serie:</v>
      </c>
      <c r="C6" s="15"/>
      <c r="D6" s="5">
        <v>3</v>
      </c>
      <c r="E6" s="15"/>
      <c r="F6" s="17" t="str">
        <f>IF(H3=5,INDEX(Language!B4:F35,3,1),IF(H3=4,INDEX(Language!B4:F35,3,2),IF(H3=3,INDEX(Language!B4:F35,3,3),IF(H3=2,INDEX(Language!B4:F35,3,4),INDEX(Language!B4:F35,3,5)))))</f>
        <v>Parallèle:</v>
      </c>
      <c r="G6" s="5">
        <v>4</v>
      </c>
      <c r="H6" s="16"/>
    </row>
    <row r="7" spans="1:18" ht="15" customHeight="1" x14ac:dyDescent="0.25">
      <c r="A7" s="14"/>
      <c r="B7" s="15"/>
      <c r="C7" s="15"/>
      <c r="D7" s="15"/>
      <c r="E7" s="15"/>
      <c r="F7" s="15"/>
      <c r="G7" s="15"/>
      <c r="H7" s="16"/>
    </row>
    <row r="8" spans="1:18" x14ac:dyDescent="0.25">
      <c r="A8" s="14"/>
      <c r="B8" s="15" t="str">
        <f>IF(H3=5,INDEX(Language!B4:F35,4,1),IF(H3=4,INDEX(Language!B4:F35,4,2),IF(H3=3,INDEX(Language!B4:F35,4,3),IF(H3=2,INDEX(Language!B4:F35,4,4),INDEX(Language!B4:F35,4,5)))))</f>
        <v>Puissance PV totale @STC:</v>
      </c>
      <c r="C8" s="15"/>
      <c r="D8" s="84">
        <f>D6*G6*INDEX(Modules!B3:J29,Form!D4,3)</f>
        <v>3120</v>
      </c>
      <c r="E8" s="15" t="str">
        <f>IF(H3=5,INDEX(Language!B4:F35,5,1),IF(H3=4,INDEX(Language!B4:F35,5,2),IF(H3=3,INDEX(Language!B4:F35,5,3),IF(H3=2,INDEX(Language!B4:F35,5,4),INDEX(Language!B4:F35,5,5)))))</f>
        <v>Wc</v>
      </c>
      <c r="F8" s="15"/>
      <c r="G8" s="15"/>
      <c r="H8" s="16"/>
    </row>
    <row r="9" spans="1:18" ht="15" customHeight="1" x14ac:dyDescent="0.25">
      <c r="A9" s="14"/>
      <c r="B9" s="143" t="str">
        <f>IF(F23="N.A.","",IF('Calculation table'!B49&gt;1.3,IF(H3=5,INDEX(Language!B4:F42,39,1),IF(H3=4,INDEX(Language!B4:F42,39,2),IF(H3=3,INDEX(Language!B4:F42,39,3),IF(H3=2,INDEX(Language!B4:F42,39,4),INDEX(Language!B4:F42,39,5))))),""))</f>
        <v/>
      </c>
      <c r="C9" s="15"/>
      <c r="D9" s="142"/>
      <c r="E9" s="147"/>
      <c r="F9" s="15"/>
      <c r="G9" s="60"/>
      <c r="H9" s="16"/>
    </row>
    <row r="10" spans="1:18" ht="15" customHeight="1" x14ac:dyDescent="0.25">
      <c r="A10" s="14"/>
      <c r="B10" s="143" t="str">
        <f>IF(F24="N.A.","",IF('Calculation table'!D50=TRUE,IF(H3=5,INDEX(Language!B4:F52,49,1),IF(H3=4,INDEX(Language!B4:F52,49,2),IF(H3=3,INDEX(Language!B4:F52,49,3),IF(H3=2,INDEX(Language!B4:F52,49,4),INDEX(Language!B4:F52,49,5))))),""))</f>
        <v/>
      </c>
      <c r="C10" s="15"/>
      <c r="D10" s="142"/>
      <c r="E10" s="147"/>
      <c r="F10" s="15"/>
      <c r="G10" s="60"/>
      <c r="H10" s="16"/>
    </row>
    <row r="11" spans="1:18" x14ac:dyDescent="0.25">
      <c r="A11" s="14"/>
      <c r="B11" s="15" t="str">
        <f>IF(H3=5,INDEX(Language!B4:F35,6,1),IF(H3=4,INDEX(Language!B4:F35,6,2),IF(H3=3,INDEX(Language!B4:F35,6,3),IF(H3=2,INDEX(Language!B4:F35,6,4),INDEX(Language!B4:F35,6,5)))))</f>
        <v>Température Paneau:</v>
      </c>
      <c r="C11" s="15"/>
      <c r="D11" s="17" t="str">
        <f>IF(H3=5,INDEX(Language!B4:F35,7,1),IF(H3=4,INDEX(Language!B4:F35,7,2),IF(H3=3,INDEX(Language!B4:F35,7,3),IF(H3=2,INDEX(Language!B4:F35,7,4),INDEX(Language!B4:F35,7,5)))))</f>
        <v>Min.</v>
      </c>
      <c r="E11" s="64">
        <f>E12-25</f>
        <v>0</v>
      </c>
      <c r="F11" s="17" t="str">
        <f>IF(H3=5,INDEX(Language!B4:F35,8,1),IF(H3=4,INDEX(Language!B4:F35,8,2),IF(H3=3,INDEX(Language!B4:F35,8,3),IF(H3=2,INDEX(Language!B4:F35,8,4),INDEX(Language!B4:F35,8,5)))))</f>
        <v>Max.</v>
      </c>
      <c r="G11" s="65">
        <v>70</v>
      </c>
      <c r="H11" s="16"/>
      <c r="K11" s="57">
        <v>2.5</v>
      </c>
    </row>
    <row r="12" spans="1:18" x14ac:dyDescent="0.25">
      <c r="A12" s="14"/>
      <c r="B12" s="15"/>
      <c r="C12" s="15"/>
      <c r="D12" s="15"/>
      <c r="E12" s="148">
        <v>25</v>
      </c>
      <c r="F12" s="15"/>
      <c r="G12" s="15"/>
      <c r="H12" s="16"/>
      <c r="J12" s="62">
        <f>INDEX(Regulator!K2:N19,Form!$D$13,1)</f>
        <v>12</v>
      </c>
      <c r="K12" s="57">
        <v>4</v>
      </c>
    </row>
    <row r="13" spans="1:18" x14ac:dyDescent="0.25">
      <c r="A13" s="14"/>
      <c r="B13" s="15" t="str">
        <f>IF(H3=5,INDEX(Language!B4:F35,9,1),IF(H3=4,INDEX(Language!B4:F35,9,2),IF(H3=3,INDEX(Language!B4:F35,9,3),IF(H3=2,INDEX(Language!B4:F35,9,4),INDEX(Language!B4:F35,9,5)))))</f>
        <v>Régulateur:</v>
      </c>
      <c r="C13" s="15"/>
      <c r="D13" s="6">
        <v>10</v>
      </c>
      <c r="E13" s="15"/>
      <c r="F13" s="15"/>
      <c r="G13" s="15"/>
      <c r="H13" s="16"/>
      <c r="J13" s="62">
        <f>INDEX(Regulator!K2:N19,Form!$D$13,2)</f>
        <v>24</v>
      </c>
      <c r="K13" s="57">
        <v>6</v>
      </c>
    </row>
    <row r="14" spans="1:18" x14ac:dyDescent="0.25">
      <c r="A14" s="14"/>
      <c r="B14" s="15"/>
      <c r="C14" s="15"/>
      <c r="D14" s="15"/>
      <c r="E14" s="15"/>
      <c r="F14" s="15"/>
      <c r="G14" s="15"/>
      <c r="H14" s="16"/>
      <c r="J14" s="62">
        <f>INDEX(Regulator!K2:N19,Form!$D$13,3)</f>
        <v>36</v>
      </c>
      <c r="K14" s="57">
        <v>10</v>
      </c>
    </row>
    <row r="15" spans="1:18" x14ac:dyDescent="0.25">
      <c r="A15" s="14"/>
      <c r="B15" s="15" t="str">
        <f>IF(H3=5,INDEX(Language!B4:F35,10,1),IF(H3=4,INDEX(Language!B4:F35,10,2),IF(H3=3,INDEX(Language!B4:F35,10,3),IF(H3=2,INDEX(Language!B4:F35,10,4),INDEX(Language!B4:F35,10,5)))))</f>
        <v>Tension du système:</v>
      </c>
      <c r="C15" s="15"/>
      <c r="D15" s="15"/>
      <c r="E15" s="25">
        <v>4</v>
      </c>
      <c r="F15" s="15" t="s">
        <v>18</v>
      </c>
      <c r="G15" s="15"/>
      <c r="H15" s="16"/>
      <c r="J15" s="62">
        <f>INDEX(Regulator!K2:N19,Form!$D$13,4)</f>
        <v>48</v>
      </c>
      <c r="K15" s="57">
        <v>16</v>
      </c>
    </row>
    <row r="16" spans="1:18" x14ac:dyDescent="0.25">
      <c r="A16" s="14"/>
      <c r="B16" s="15"/>
      <c r="C16" s="15"/>
      <c r="D16" s="15"/>
      <c r="E16" s="25"/>
      <c r="F16" s="15"/>
      <c r="G16" s="15"/>
      <c r="H16" s="16"/>
      <c r="J16" s="62"/>
      <c r="K16" s="57">
        <v>25</v>
      </c>
    </row>
    <row r="17" spans="1:11" x14ac:dyDescent="0.25">
      <c r="A17" s="14"/>
      <c r="B17" s="90" t="str">
        <f>IF(H3=5,INDEX(Language!B4:F35,31,1),IF(H3=4,INDEX(Language!B4:F35,31,2),IF(H3=3,INDEX(Language!B4:F35,31,3),IF(H3=2,INDEX(Language!B4:F35,31,4),INDEX(Language!B4:F35,31,5)))))</f>
        <v>Longueur cable, Paneaux à MPPT *</v>
      </c>
      <c r="C17" s="90"/>
      <c r="D17" s="15"/>
      <c r="E17" s="99">
        <v>10</v>
      </c>
      <c r="F17" s="17" t="str">
        <f>IF(H3=5,INDEX(Language!B4:F35,32,1),IF(H3=4,INDEX(Language!B4:F35,32,2),IF(H3=3,INDEX(Language!B4:F35,32,3),IF(H3=2,INDEX(Language!B4:F35,32,4),INDEX(Language!B4:F35,32,5)))))</f>
        <v>Section:</v>
      </c>
      <c r="G17" s="101">
        <f>INDEX(K11:K17,H17,1)</f>
        <v>6</v>
      </c>
      <c r="H17" s="100">
        <v>3</v>
      </c>
      <c r="J17" s="62"/>
      <c r="K17" s="57">
        <v>35</v>
      </c>
    </row>
    <row r="18" spans="1:11" x14ac:dyDescent="0.25">
      <c r="A18" s="14"/>
      <c r="B18" s="15" t="str">
        <f>IF(H3=5,INDEX(Language!B4:F36,33,1),IF(H3=4,INDEX(Language!B4:F36,33,2),IF(H3=3,INDEX(Language!B4:F36,33,3),IF(H3=2,INDEX(Language!B4:F36,33,4),INDEX(Language!B4:F36,33,5)))))</f>
        <v>* La distance simple</v>
      </c>
      <c r="C18" s="15"/>
      <c r="D18" s="15"/>
      <c r="E18" s="15"/>
      <c r="F18" s="15"/>
      <c r="G18" s="15"/>
      <c r="H18" s="16"/>
    </row>
    <row r="19" spans="1:11" x14ac:dyDescent="0.25">
      <c r="A19" s="18"/>
      <c r="B19" s="19" t="str">
        <f>IF(H3=5,INDEX(Language!B4:F35,11,1),IF(H3=4,INDEX(Language!B4:F35,11,2),IF(H3=3,INDEX(Language!B4:F35,11,3),IF(H3=2,INDEX(Language!B4:F35,11,4),INDEX(Language!B4:F35,11,5)))))</f>
        <v>Tension d'entrée max.:</v>
      </c>
      <c r="C19" s="19"/>
      <c r="D19" s="19"/>
      <c r="E19" s="19"/>
      <c r="F19" s="48">
        <f>INDEX(Regulator!$B$2:$H$19,Form!$D$13,7)</f>
        <v>150</v>
      </c>
      <c r="G19" s="19"/>
      <c r="H19" s="20"/>
    </row>
    <row r="20" spans="1:11" x14ac:dyDescent="0.25">
      <c r="A20" s="14"/>
      <c r="B20" s="15" t="str">
        <f>IF(H3=5,INDEX(Language!B4:F35,12,1),IF(H3=4,INDEX(Language!B4:F35,12,2),IF(H3=3,INDEX(Language!B4:F35,12,3),IF(H3=2,INDEX(Language!B4:F35,12,4),INDEX(Language!B4:F35,12,5)))))</f>
        <v>PV tension max. @ temp. min.</v>
      </c>
      <c r="C20" s="15"/>
      <c r="D20" s="15"/>
      <c r="E20" s="15"/>
      <c r="F20" s="49">
        <f>'Calculation table'!E30</f>
        <v>122.75549999999998</v>
      </c>
      <c r="G20" s="15"/>
      <c r="H20" s="21"/>
    </row>
    <row r="21" spans="1:11" x14ac:dyDescent="0.25">
      <c r="A21" s="14"/>
      <c r="B21" s="15" t="str">
        <f>IF(H3=5,INDEX(Language!B4:F35,13,1),IF(H3=4,INDEX(Language!B4:F35,13,2),IF(H3=3,INDEX(Language!B4:F35,13,3),IF(H3=2,INDEX(Language!B4:F35,13,4),INDEX(Language!B4:F35,13,5)))))</f>
        <v>Tension d'entrée min. @ MPP</v>
      </c>
      <c r="C21" s="15"/>
      <c r="D21" s="15"/>
      <c r="E21" s="15"/>
      <c r="F21" s="49">
        <f>'Calculation table'!B20</f>
        <v>49</v>
      </c>
      <c r="G21" s="15"/>
      <c r="H21" s="21"/>
    </row>
    <row r="22" spans="1:11" x14ac:dyDescent="0.25">
      <c r="A22" s="22"/>
      <c r="B22" s="23" t="str">
        <f>IF(H3=5,INDEX(Language!B4:F35,14,1),IF(H3=4,INDEX(Language!B4:F35,14,2),IF(H3=3,INDEX(Language!B4:F35,14,3),IF(H3=2,INDEX(Language!B4:F35,14,4),INDEX(Language!B4:F35,14,5)))))</f>
        <v>PV tension min. @ temp. max.</v>
      </c>
      <c r="C22" s="23"/>
      <c r="D22" s="23"/>
      <c r="E22" s="23"/>
      <c r="F22" s="56">
        <f>'Calculation table'!J37</f>
        <v>72.737640066666671</v>
      </c>
      <c r="G22" s="23"/>
      <c r="H22" s="24"/>
    </row>
    <row r="23" spans="1:11" x14ac:dyDescent="0.25">
      <c r="A23" s="14"/>
      <c r="B23" s="15" t="str">
        <f>IF(H3=5,INDEX(Language!B4:F35,15,1),IF(H3=4,INDEX(Language!B4:F35,15,2),IF(H3=3,INDEX(Language!B4:F35,15,3),IF(H3=2,INDEX(Language!B4:F35,15,4),INDEX(Language!B4:F35,15,5)))))</f>
        <v>Courant de sortie max.</v>
      </c>
      <c r="C23" s="15"/>
      <c r="D23" s="15"/>
      <c r="E23" s="15"/>
      <c r="F23" s="50">
        <f>INDEX(Regulator!B2:P19,Form!$D$13,15)</f>
        <v>70</v>
      </c>
      <c r="G23" s="15"/>
      <c r="H23" s="16"/>
    </row>
    <row r="24" spans="1:11" x14ac:dyDescent="0.25">
      <c r="A24" s="14"/>
      <c r="B24" s="15" t="str">
        <f>IF(H3=5,INDEX(Language!B4:F35,16,1),IF(H3=4,INDEX(Language!B4:F35,16,2),IF(H3=3,INDEX(Language!B4:F35,16,3),IF(H3=2,INDEX(Language!B4:F35,16,4),INDEX(Language!B4:F35,16,5)))))</f>
        <v>Courant max. @ MPP temp. min.</v>
      </c>
      <c r="C24" s="15"/>
      <c r="D24" s="15"/>
      <c r="E24" s="15"/>
      <c r="F24" s="51">
        <f>IF('Calculation table'!D20=0,"N.A.",'Calculation table'!E40)</f>
        <v>69.435157791562503</v>
      </c>
      <c r="G24" s="15"/>
      <c r="H24" s="16"/>
    </row>
    <row r="25" spans="1:11" x14ac:dyDescent="0.25">
      <c r="A25" s="14"/>
      <c r="B25" s="15"/>
      <c r="C25" s="15"/>
      <c r="D25" s="15"/>
      <c r="E25" s="15"/>
      <c r="F25" s="15" t="str">
        <f>IF(F24="N.A.","",IF('Calculation table'!E40=F23,IF(H3=5,INDEX(Language!B4:F35,27,1),IF(H3=4,INDEX(Language!B4:F35,27,2),IF(H3=3,INDEX(Language!B4:F35,27,3),IF(H3=2,INDEX(Language!B4:F35,27,4),INDEX(Language!B4:F35,27,5))))),""))</f>
        <v/>
      </c>
      <c r="G25" s="15"/>
      <c r="H25" s="16"/>
    </row>
    <row r="26" spans="1:11" x14ac:dyDescent="0.25">
      <c r="A26" s="14"/>
      <c r="B26" s="15" t="str">
        <f>IF(H3=5,INDEX(Language!B4:F35,17,1),IF(H3=4,INDEX(Language!B4:F35,17,2),IF(H3=3,INDEX(Language!B4:F35,17,3),IF(H3=2,INDEX(Language!B4:F35,17,4),INDEX(Language!B4:F35,17,5)))))</f>
        <v>Courant max. @ MPP temp. max.</v>
      </c>
      <c r="C26" s="15"/>
      <c r="D26" s="15"/>
      <c r="E26" s="15"/>
      <c r="F26" s="51">
        <f>IF('Calculation table'!D20=0,"N.A.",'Calculation table'!F47)</f>
        <v>53.349759888162502</v>
      </c>
      <c r="G26" s="15"/>
      <c r="H26" s="16"/>
    </row>
    <row r="27" spans="1:11" ht="15.75" thickBot="1" x14ac:dyDescent="0.3">
      <c r="A27" s="14"/>
      <c r="B27" s="15"/>
      <c r="C27" s="15"/>
      <c r="D27" s="15"/>
      <c r="E27" s="15"/>
      <c r="F27" s="15" t="str">
        <f>IF(F26="N.A.","",IF('Calculation table'!F47=F23,IF(H3=5,INDEX(Language!B4:F35,28,1),IF(H3=4,INDEX(Language!B4:F35,28,2),IF(H3=3,INDEX(Language!B4:F35,28,3),IF(H3=2,INDEX(Language!B4:F35,28,4),INDEX(Language!B4:F35,28,5))))),""))</f>
        <v/>
      </c>
      <c r="G27" s="15"/>
      <c r="H27" s="16"/>
    </row>
    <row r="28" spans="1:11" ht="15.75" thickBot="1" x14ac:dyDescent="0.3">
      <c r="A28" s="103"/>
      <c r="B28" s="55" t="str">
        <f>IF(H3=5,INDEX(Language!B4:F35,18,1),IF(H3=4,INDEX(Language!B4:F35,18,2),IF(H3=3,INDEX(Language!B4:F35,18,3),IF(H3=2,INDEX(Language!B4:F35,18,4),INDEX(Language!B4:F35,18,5)))))</f>
        <v>Configuration du panneau</v>
      </c>
      <c r="C28" s="55"/>
      <c r="D28" s="26"/>
      <c r="E28" s="27"/>
      <c r="F28" s="27" t="str">
        <f>IF('Calculation table'!D50=FALSE,IF(F20&lt;=F19,IF(F24&lt;=F23,IF(F22&gt;F21,G28,H28),H28),H28),H28)</f>
        <v>Accepté</v>
      </c>
      <c r="G28" s="137" t="str">
        <f>IF(H3=5,INDEX(Language!B4:F40,37,1),IF(H3=4,INDEX(Language!B4:F40,37,2),IF(H3=3,INDEX(Language!B4:F40,37,3),IF(H3=2,INDEX(Language!B4:F40,37,4),INDEX(Language!B4:F40,37,5)))))</f>
        <v>Accepté</v>
      </c>
      <c r="H28" s="138" t="str">
        <f>IF(H3=5,INDEX(Language!B4:F41,38,1),IF(H3=4,INDEX(Language!B4:F41,38,2),IF(H3=3,INDEX(Language!B4:F41,38,3),IF(H3=2,INDEX(Language!B4:F41,38,4),INDEX(Language!B4:F41,38,5)))))</f>
        <v>PAS accepté</v>
      </c>
    </row>
    <row r="29" spans="1:11" x14ac:dyDescent="0.25">
      <c r="A29" s="22"/>
      <c r="B29" s="23"/>
      <c r="C29" s="23"/>
      <c r="D29" s="23"/>
      <c r="E29" s="23"/>
      <c r="F29" s="23"/>
      <c r="G29" s="23"/>
      <c r="H29" s="24"/>
    </row>
    <row r="30" spans="1:11" s="57" customFormat="1" x14ac:dyDescent="0.25">
      <c r="H30" s="83" t="s">
        <v>394</v>
      </c>
    </row>
    <row r="31" spans="1:11" s="57" customFormat="1" x14ac:dyDescent="0.25">
      <c r="H31" s="83"/>
    </row>
    <row r="32" spans="1:11" s="57" customFormat="1" x14ac:dyDescent="0.25">
      <c r="A32" s="104" t="str">
        <f>IF(H3=5,INDEX(Language!B4:F37,34,1),IF(H3=4,INDEX(Language!B4:F37,34,2),IF(H3=3,INDEX(Language!B4:F37,34,3),IF(H3=2,INDEX(Language!B4:F37,34,4),INDEX(Language!B4:F37,34,5)))))</f>
        <v>Les panneaux PV sont-ils souvent couverts de neige ?</v>
      </c>
      <c r="B32" s="105"/>
      <c r="C32" s="105"/>
      <c r="D32" s="105"/>
      <c r="E32" s="105"/>
      <c r="F32" s="105"/>
      <c r="G32" s="106"/>
      <c r="H32" s="107" t="str">
        <f>IF(J32=TRUE,IF(H3=5,INDEX(Language!B4:F38,35,1),IF(H3=4,INDEX(Language!B4:F38,35,2),IF(H3=3,INDEX(Language!B4:F38,35,3),IF(H3=2,INDEX(Language!B4:F38,35,4),INDEX(Language!B4:F38,35,5))))),IF(H3=5,INDEX(Language!B4:F39,36,1),IF(H3=4,INDEX(Language!B4:F39,36,2),IF(H3=3,INDEX(Language!B4:F39,36,3),IF(H3=2,INDEX(Language!B4:F39,36,4),INDEX(Language!B4:F39,36,5))))))</f>
        <v>Non</v>
      </c>
      <c r="J32" s="132" t="b">
        <v>0</v>
      </c>
    </row>
    <row r="33" spans="1:8" s="57" customFormat="1" x14ac:dyDescent="0.25">
      <c r="H33" s="58"/>
    </row>
    <row r="34" spans="1:8" s="57" customFormat="1" x14ac:dyDescent="0.25">
      <c r="A34" s="79" t="str">
        <f>IF(H3=5,INDEX(Language!B4:F35,19,1),IF(H3=4,INDEX(Language!B4:F35,19,2),IF(H3=3,INDEX(Language!B4:F35,19,3),IF(H3=2,INDEX(Language!B4:F35,19,4),INDEX(Language!B4:F35,19,5)))))</f>
        <v>Exemple de localisation de site avec la température attendue:</v>
      </c>
      <c r="B34" s="80"/>
      <c r="C34" s="80"/>
      <c r="D34" s="80"/>
      <c r="E34" s="80"/>
      <c r="F34" s="80"/>
      <c r="G34" s="66" t="str">
        <f>IF(H3=5,INDEX(Language!B4:F35,7,1),IF(H3=4,INDEX(Language!B4:F35,7,2),IF(H3=3,INDEX(Language!B4:F35,7,3),IF(H3=2,INDEX(Language!B4:F35,7,4),INDEX(Language!B4:F35,7,5)))))</f>
        <v>Min.</v>
      </c>
      <c r="H34" s="66" t="str">
        <f>IF(H3=5,INDEX(Language!B4:F35,8,1),IF(H3=4,INDEX(Language!B4:F35,8,2),IF(H3=3,INDEX(Language!B4:F35,8,3),IF(H3=2,INDEX(Language!B4:F35,8,4),INDEX(Language!B4:F35,8,5)))))</f>
        <v>Max.</v>
      </c>
    </row>
    <row r="35" spans="1:8" s="57" customFormat="1" x14ac:dyDescent="0.25">
      <c r="A35" s="81" t="str">
        <f>IF(H3=5,INDEX(Language!B4:F35,20,1),IF(H3=4,INDEX(Language!B4:F35,20,2),IF(H3=3,INDEX(Language!B4:F35,20,3),IF(H3=2,INDEX(Language!B4:F35,20,4),INDEX(Language!B4:F35,20,5)))))</f>
        <v>À plat sur toit de camping-car  toute l'année (mauvaise ventilation)</v>
      </c>
      <c r="B35" s="82"/>
      <c r="C35" s="82"/>
      <c r="D35" s="82"/>
      <c r="E35" s="82"/>
      <c r="F35" s="82"/>
      <c r="G35" s="63">
        <f>IF(J32=TRUE,-10,0)</f>
        <v>0</v>
      </c>
      <c r="H35" s="63">
        <v>70</v>
      </c>
    </row>
    <row r="36" spans="1:8" s="57" customFormat="1" x14ac:dyDescent="0.25">
      <c r="A36" s="81" t="str">
        <f>IF(H3=5,INDEX(Language!B4:F35,21,1),IF(H3=4,INDEX(Language!B4:F35,21,2),IF(H3=3,INDEX(Language!B4:F35,21,3),IF(H3=2,INDEX(Language!B4:F35,21,4),INDEX(Language!B4:F35,21,5)))))</f>
        <v>À plat sur camping-car , seulement l'été (mauvaise ventilation)</v>
      </c>
      <c r="B36" s="82"/>
      <c r="C36" s="82"/>
      <c r="D36" s="82"/>
      <c r="E36" s="82"/>
      <c r="F36" s="82"/>
      <c r="G36" s="63">
        <f>IF(J32=TRUE,5,15)</f>
        <v>15</v>
      </c>
      <c r="H36" s="63">
        <v>70</v>
      </c>
    </row>
    <row r="37" spans="1:8" s="57" customFormat="1" x14ac:dyDescent="0.25">
      <c r="A37" s="81" t="str">
        <f>IF(H3=5,INDEX(Language!B4:F35,22,1),IF(H3=4,INDEX(Language!B4:F35,22,2),IF(H3=3,INDEX(Language!B4:F35,22,3),IF(H3=2,INDEX(Language!B4:F35,22,4),INDEX(Language!B4:F35,22,5)))))</f>
        <v>À plat sur ​​le bateau (mauvaise ventilation)</v>
      </c>
      <c r="B37" s="82"/>
      <c r="C37" s="82"/>
      <c r="D37" s="82"/>
      <c r="E37" s="82"/>
      <c r="F37" s="82"/>
      <c r="G37" s="63">
        <f>IF(J32=TRUE,0,10)</f>
        <v>10</v>
      </c>
      <c r="H37" s="63">
        <v>65</v>
      </c>
    </row>
    <row r="38" spans="1:8" s="57" customFormat="1" x14ac:dyDescent="0.25">
      <c r="A38" s="81" t="str">
        <f>IF(H3=5,INDEX(Language!B4:F35,23,1),IF(H3=4,INDEX(Language!B4:F35,23,2),IF(H3=3,INDEX(Language!B4:F35,23,3),IF(H3=2,INDEX(Language!B4:F35,23,4),INDEX(Language!B4:F35,23,5)))))</f>
        <v>Inclinée sur bateau (bonne ventilation)</v>
      </c>
      <c r="B38" s="82"/>
      <c r="C38" s="82"/>
      <c r="D38" s="82"/>
      <c r="E38" s="82"/>
      <c r="F38" s="82"/>
      <c r="G38" s="63">
        <f>IF(J32=TRUE,-5,5)</f>
        <v>5</v>
      </c>
      <c r="H38" s="63">
        <v>60</v>
      </c>
    </row>
    <row r="39" spans="1:8" s="57" customFormat="1" x14ac:dyDescent="0.25">
      <c r="A39" s="81" t="str">
        <f>IF(H3=5,INDEX(Language!B4:F35,24,1),IF(H3=4,INDEX(Language!B4:F35,24,2),IF(H3=3,INDEX(Language!B4:F35,24,3),IF(H3=2,INDEX(Language!B4:F35,24,4),INDEX(Language!B4:F35,24,5)))))</f>
        <v>Toit en pente, en région chaude (bonne ventilation)</v>
      </c>
      <c r="B39" s="82"/>
      <c r="C39" s="82"/>
      <c r="D39" s="82"/>
      <c r="E39" s="82"/>
      <c r="F39" s="82"/>
      <c r="G39" s="63">
        <f>IF(J32=TRUE,-5,5)</f>
        <v>5</v>
      </c>
      <c r="H39" s="63">
        <v>70</v>
      </c>
    </row>
    <row r="40" spans="1:8" s="57" customFormat="1" x14ac:dyDescent="0.25">
      <c r="A40" s="81" t="str">
        <f>IF(H3=5,INDEX(Language!B4:F35,25,1),IF(H3=4,INDEX(Language!B4:F35,25,2),IF(H3=3,INDEX(Language!B4:F35,25,3),IF(H3=2,INDEX(Language!B4:F35,25,4),INDEX(Language!B4:F35,25,5)))))</f>
        <v>Toit en pente, région tempérée (bonne ventilation)</v>
      </c>
      <c r="B40" s="82"/>
      <c r="C40" s="82"/>
      <c r="D40" s="82"/>
      <c r="E40" s="82"/>
      <c r="F40" s="82"/>
      <c r="G40" s="63">
        <f>IF(J32=TRUE,-10,0)</f>
        <v>0</v>
      </c>
      <c r="H40" s="63">
        <v>65</v>
      </c>
    </row>
    <row r="41" spans="1:8" s="57" customFormat="1" x14ac:dyDescent="0.25">
      <c r="A41" s="81" t="str">
        <f>IF(H3=5,INDEX(Language!B4:F35,26,1),IF(H3=4,INDEX(Language!B4:F35,26,2),IF(H3=3,INDEX(Language!B4:F35,26,3),IF(H3=2,INDEX(Language!B4:F35,26,4),INDEX(Language!B4:F35,26,5)))))</f>
        <v>Toit en pente, en montagne (bonne ventilation)</v>
      </c>
      <c r="B41" s="82"/>
      <c r="C41" s="82"/>
      <c r="D41" s="82"/>
      <c r="E41" s="82"/>
      <c r="F41" s="82"/>
      <c r="G41" s="63">
        <f>IF(J32=TRUE,-10,-5)</f>
        <v>-5</v>
      </c>
      <c r="H41" s="63">
        <v>60</v>
      </c>
    </row>
    <row r="42" spans="1:8" s="57" customFormat="1" x14ac:dyDescent="0.25"/>
    <row r="43" spans="1:8" s="57" customFormat="1" x14ac:dyDescent="0.25"/>
    <row r="44" spans="1:8" s="57" customFormat="1" x14ac:dyDescent="0.25"/>
    <row r="45" spans="1:8" s="57" customFormat="1" x14ac:dyDescent="0.25"/>
    <row r="46" spans="1:8" s="57" customFormat="1" x14ac:dyDescent="0.25"/>
    <row r="47" spans="1:8" s="57" customFormat="1" x14ac:dyDescent="0.25"/>
    <row r="48" spans="1:8"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sheetData>
  <sheetProtection sheet="1" objects="1" scenarios="1" selectLockedCells="1" selectUnlockedCells="1"/>
  <mergeCells count="1">
    <mergeCell ref="D1:F2"/>
  </mergeCells>
  <conditionalFormatting sqref="F20">
    <cfRule type="cellIs" dxfId="49" priority="17" operator="greaterThan">
      <formula>$F$19</formula>
    </cfRule>
    <cfRule type="cellIs" dxfId="48" priority="20" operator="lessThanOrEqual">
      <formula>$F$19</formula>
    </cfRule>
  </conditionalFormatting>
  <conditionalFormatting sqref="F24 F26">
    <cfRule type="cellIs" dxfId="47" priority="13" operator="greaterThanOrEqual">
      <formula>$F$23</formula>
    </cfRule>
    <cfRule type="cellIs" dxfId="46" priority="18" operator="lessThan">
      <formula>$F$23</formula>
    </cfRule>
  </conditionalFormatting>
  <conditionalFormatting sqref="F22">
    <cfRule type="cellIs" dxfId="45" priority="14" operator="lessThan">
      <formula>$F$21</formula>
    </cfRule>
    <cfRule type="cellIs" dxfId="44" priority="15" operator="greaterThanOrEqual">
      <formula>$F$21</formula>
    </cfRule>
  </conditionalFormatting>
  <conditionalFormatting sqref="F28">
    <cfRule type="containsText" dxfId="43" priority="1" operator="containsText" text="NOT accepted">
      <formula>NOT(ISERROR(SEARCH("NOT accepted",F28)))</formula>
    </cfRule>
    <cfRule type="containsText" dxfId="42" priority="2" operator="containsText" text="NIET toegestaan">
      <formula>NOT(ISERROR(SEARCH("NIET toegestaan",F28)))</formula>
    </cfRule>
    <cfRule type="containsText" dxfId="41" priority="3" operator="containsText" text="NO aceptado">
      <formula>NOT(ISERROR(SEARCH("NO aceptado",F28)))</formula>
    </cfRule>
    <cfRule type="containsText" dxfId="40" priority="4" operator="containsText" text="NICHT erlaubt">
      <formula>NOT(ISERROR(SEARCH("NICHT erlaubt",F28)))</formula>
    </cfRule>
    <cfRule type="containsText" dxfId="39" priority="5" operator="containsText" text="PAS accepté">
      <formula>NOT(ISERROR(SEARCH("PAS accepté",F28)))</formula>
    </cfRule>
    <cfRule type="containsText" dxfId="38" priority="6" operator="containsText" text="Toegestaan">
      <formula>NOT(ISERROR(SEARCH("Toegestaan",F28)))</formula>
    </cfRule>
    <cfRule type="containsText" dxfId="37" priority="7" operator="containsText" text="Aceptado">
      <formula>NOT(ISERROR(SEARCH("Aceptado",F28)))</formula>
    </cfRule>
    <cfRule type="containsText" dxfId="36" priority="8" operator="containsText" text="Erlaubt">
      <formula>NOT(ISERROR(SEARCH("Erlaubt",F28)))</formula>
    </cfRule>
    <cfRule type="containsText" dxfId="35" priority="11" operator="containsText" text="Accepté">
      <formula>NOT(ISERROR(SEARCH("Accepté",F28)))</formula>
    </cfRule>
    <cfRule type="containsText" dxfId="34" priority="12" operator="containsText" text="Accepted">
      <formula>NOT(ISERROR(SEARCH("Accepted",F28)))</formula>
    </cfRule>
  </conditionalFormatting>
  <hyperlinks>
    <hyperlink ref="D1:F2" r:id="rId1" display="Blue Solar charge controller MPPT"/>
  </hyperlinks>
  <pageMargins left="0.7" right="0.7" top="0.75" bottom="0.75" header="0.3" footer="0.3"/>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Drop Down 4">
              <controlPr defaultSize="0" autoLine="0" autoPict="0">
                <anchor moveWithCells="1">
                  <from>
                    <xdr:col>2</xdr:col>
                    <xdr:colOff>0</xdr:colOff>
                    <xdr:row>3</xdr:row>
                    <xdr:rowOff>0</xdr:rowOff>
                  </from>
                  <to>
                    <xdr:col>7</xdr:col>
                    <xdr:colOff>466725</xdr:colOff>
                    <xdr:row>4</xdr:row>
                    <xdr:rowOff>9525</xdr:rowOff>
                  </to>
                </anchor>
              </controlPr>
            </control>
          </mc:Choice>
        </mc:AlternateContent>
        <mc:AlternateContent xmlns:mc="http://schemas.openxmlformats.org/markup-compatibility/2006">
          <mc:Choice Requires="x14">
            <control shapeId="1029" r:id="rId6" name="Drop Down 5">
              <controlPr defaultSize="0" autoLine="0" autoPict="0">
                <anchor moveWithCells="1">
                  <from>
                    <xdr:col>1</xdr:col>
                    <xdr:colOff>1381125</xdr:colOff>
                    <xdr:row>12</xdr:row>
                    <xdr:rowOff>19050</xdr:rowOff>
                  </from>
                  <to>
                    <xdr:col>7</xdr:col>
                    <xdr:colOff>457200</xdr:colOff>
                    <xdr:row>13</xdr:row>
                    <xdr:rowOff>38100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4</xdr:col>
                    <xdr:colOff>0</xdr:colOff>
                    <xdr:row>13</xdr:row>
                    <xdr:rowOff>171450</xdr:rowOff>
                  </from>
                  <to>
                    <xdr:col>4</xdr:col>
                    <xdr:colOff>552450</xdr:colOff>
                    <xdr:row>15</xdr:row>
                    <xdr:rowOff>9525</xdr:rowOff>
                  </to>
                </anchor>
              </controlPr>
            </control>
          </mc:Choice>
        </mc:AlternateContent>
        <mc:AlternateContent xmlns:mc="http://schemas.openxmlformats.org/markup-compatibility/2006">
          <mc:Choice Requires="x14">
            <control shapeId="1032" r:id="rId8" name="Spinner 8">
              <controlPr defaultSize="0" autoPict="0">
                <anchor moveWithCells="1" sizeWithCells="1">
                  <from>
                    <xdr:col>4</xdr:col>
                    <xdr:colOff>76200</xdr:colOff>
                    <xdr:row>4</xdr:row>
                    <xdr:rowOff>180975</xdr:rowOff>
                  </from>
                  <to>
                    <xdr:col>4</xdr:col>
                    <xdr:colOff>371475</xdr:colOff>
                    <xdr:row>6</xdr:row>
                    <xdr:rowOff>9525</xdr:rowOff>
                  </to>
                </anchor>
              </controlPr>
            </control>
          </mc:Choice>
        </mc:AlternateContent>
        <mc:AlternateContent xmlns:mc="http://schemas.openxmlformats.org/markup-compatibility/2006">
          <mc:Choice Requires="x14">
            <control shapeId="1033" r:id="rId9" name="Spinner 9">
              <controlPr defaultSize="0" autoPict="0">
                <anchor moveWithCells="1" sizeWithCells="1">
                  <from>
                    <xdr:col>7</xdr:col>
                    <xdr:colOff>95250</xdr:colOff>
                    <xdr:row>4</xdr:row>
                    <xdr:rowOff>180975</xdr:rowOff>
                  </from>
                  <to>
                    <xdr:col>7</xdr:col>
                    <xdr:colOff>390525</xdr:colOff>
                    <xdr:row>6</xdr:row>
                    <xdr:rowOff>9525</xdr:rowOff>
                  </to>
                </anchor>
              </controlPr>
            </control>
          </mc:Choice>
        </mc:AlternateContent>
        <mc:AlternateContent xmlns:mc="http://schemas.openxmlformats.org/markup-compatibility/2006">
          <mc:Choice Requires="x14">
            <control shapeId="1035" r:id="rId10" name="Spinner 11">
              <controlPr defaultSize="0" autoPict="0">
                <anchor moveWithCells="1" sizeWithCells="1">
                  <from>
                    <xdr:col>5</xdr:col>
                    <xdr:colOff>85725</xdr:colOff>
                    <xdr:row>9</xdr:row>
                    <xdr:rowOff>190500</xdr:rowOff>
                  </from>
                  <to>
                    <xdr:col>5</xdr:col>
                    <xdr:colOff>381000</xdr:colOff>
                    <xdr:row>11</xdr:row>
                    <xdr:rowOff>9525</xdr:rowOff>
                  </to>
                </anchor>
              </controlPr>
            </control>
          </mc:Choice>
        </mc:AlternateContent>
        <mc:AlternateContent xmlns:mc="http://schemas.openxmlformats.org/markup-compatibility/2006">
          <mc:Choice Requires="x14">
            <control shapeId="1037" r:id="rId11" name="Spinner 13">
              <controlPr defaultSize="0" autoPict="0">
                <anchor moveWithCells="1" sizeWithCells="1">
                  <from>
                    <xdr:col>7</xdr:col>
                    <xdr:colOff>85725</xdr:colOff>
                    <xdr:row>9</xdr:row>
                    <xdr:rowOff>190500</xdr:rowOff>
                  </from>
                  <to>
                    <xdr:col>7</xdr:col>
                    <xdr:colOff>381000</xdr:colOff>
                    <xdr:row>11</xdr:row>
                    <xdr:rowOff>9525</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6</xdr:col>
                    <xdr:colOff>266700</xdr:colOff>
                    <xdr:row>0</xdr:row>
                    <xdr:rowOff>171450</xdr:rowOff>
                  </from>
                  <to>
                    <xdr:col>6</xdr:col>
                    <xdr:colOff>571500</xdr:colOff>
                    <xdr:row>2</xdr:row>
                    <xdr:rowOff>9525</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6</xdr:col>
                    <xdr:colOff>514350</xdr:colOff>
                    <xdr:row>0</xdr:row>
                    <xdr:rowOff>171450</xdr:rowOff>
                  </from>
                  <to>
                    <xdr:col>7</xdr:col>
                    <xdr:colOff>180975</xdr:colOff>
                    <xdr:row>2</xdr:row>
                    <xdr:rowOff>9525</xdr:rowOff>
                  </to>
                </anchor>
              </controlPr>
            </control>
          </mc:Choice>
        </mc:AlternateContent>
        <mc:AlternateContent xmlns:mc="http://schemas.openxmlformats.org/markup-compatibility/2006">
          <mc:Choice Requires="x14">
            <control shapeId="1040" r:id="rId14" name="Option Button 16">
              <controlPr defaultSize="0" autoFill="0" autoLine="0" autoPict="0">
                <anchor moveWithCells="1">
                  <from>
                    <xdr:col>7</xdr:col>
                    <xdr:colOff>123825</xdr:colOff>
                    <xdr:row>0</xdr:row>
                    <xdr:rowOff>171450</xdr:rowOff>
                  </from>
                  <to>
                    <xdr:col>7</xdr:col>
                    <xdr:colOff>428625</xdr:colOff>
                    <xdr:row>2</xdr:row>
                    <xdr:rowOff>9525</xdr:rowOff>
                  </to>
                </anchor>
              </controlPr>
            </control>
          </mc:Choice>
        </mc:AlternateContent>
        <mc:AlternateContent xmlns:mc="http://schemas.openxmlformats.org/markup-compatibility/2006">
          <mc:Choice Requires="x14">
            <control shapeId="1041" r:id="rId15" name="Option Button 17">
              <controlPr defaultSize="0" autoFill="0" autoLine="0" autoPict="0">
                <anchor moveWithCells="1">
                  <from>
                    <xdr:col>7</xdr:col>
                    <xdr:colOff>371475</xdr:colOff>
                    <xdr:row>0</xdr:row>
                    <xdr:rowOff>171450</xdr:rowOff>
                  </from>
                  <to>
                    <xdr:col>7</xdr:col>
                    <xdr:colOff>676275</xdr:colOff>
                    <xdr:row>2</xdr:row>
                    <xdr:rowOff>9525</xdr:rowOff>
                  </to>
                </anchor>
              </controlPr>
            </control>
          </mc:Choice>
        </mc:AlternateContent>
        <mc:AlternateContent xmlns:mc="http://schemas.openxmlformats.org/markup-compatibility/2006">
          <mc:Choice Requires="x14">
            <control shapeId="1042" r:id="rId16" name="Option Button 18">
              <controlPr defaultSize="0" autoFill="0" autoLine="0" autoPict="0">
                <anchor moveWithCells="1">
                  <from>
                    <xdr:col>7</xdr:col>
                    <xdr:colOff>609600</xdr:colOff>
                    <xdr:row>0</xdr:row>
                    <xdr:rowOff>171450</xdr:rowOff>
                  </from>
                  <to>
                    <xdr:col>7</xdr:col>
                    <xdr:colOff>914400</xdr:colOff>
                    <xdr:row>2</xdr:row>
                    <xdr:rowOff>9525</xdr:rowOff>
                  </to>
                </anchor>
              </controlPr>
            </control>
          </mc:Choice>
        </mc:AlternateContent>
        <mc:AlternateContent xmlns:mc="http://schemas.openxmlformats.org/markup-compatibility/2006">
          <mc:Choice Requires="x14">
            <control shapeId="1043" r:id="rId17" name="Spinner 19">
              <controlPr defaultSize="0" autoPict="0">
                <anchor moveWithCells="1" sizeWithCells="1">
                  <from>
                    <xdr:col>5</xdr:col>
                    <xdr:colOff>76200</xdr:colOff>
                    <xdr:row>16</xdr:row>
                    <xdr:rowOff>9525</xdr:rowOff>
                  </from>
                  <to>
                    <xdr:col>5</xdr:col>
                    <xdr:colOff>400050</xdr:colOff>
                    <xdr:row>17</xdr:row>
                    <xdr:rowOff>9525</xdr:rowOff>
                  </to>
                </anchor>
              </controlPr>
            </control>
          </mc:Choice>
        </mc:AlternateContent>
        <mc:AlternateContent xmlns:mc="http://schemas.openxmlformats.org/markup-compatibility/2006">
          <mc:Choice Requires="x14">
            <control shapeId="1044" r:id="rId18" name="Spinner 20">
              <controlPr defaultSize="0" autoPict="0">
                <anchor moveWithCells="1" sizeWithCells="1">
                  <from>
                    <xdr:col>7</xdr:col>
                    <xdr:colOff>85725</xdr:colOff>
                    <xdr:row>15</xdr:row>
                    <xdr:rowOff>190500</xdr:rowOff>
                  </from>
                  <to>
                    <xdr:col>7</xdr:col>
                    <xdr:colOff>381000</xdr:colOff>
                    <xdr:row>17</xdr:row>
                    <xdr:rowOff>19050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6</xdr:col>
                    <xdr:colOff>371475</xdr:colOff>
                    <xdr:row>30</xdr:row>
                    <xdr:rowOff>171450</xdr:rowOff>
                  </from>
                  <to>
                    <xdr:col>7</xdr:col>
                    <xdr:colOff>38100</xdr:colOff>
                    <xdr:row>32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1"/>
  <sheetViews>
    <sheetView zoomScaleNormal="100" workbookViewId="0">
      <selection activeCell="J26" sqref="J26"/>
    </sheetView>
  </sheetViews>
  <sheetFormatPr baseColWidth="10" defaultColWidth="9.140625" defaultRowHeight="15" x14ac:dyDescent="0.25"/>
  <cols>
    <col min="1" max="1" width="39" style="53" customWidth="1"/>
    <col min="2" max="10" width="20" style="54" customWidth="1"/>
    <col min="11" max="11" width="22.140625" style="54" customWidth="1"/>
    <col min="12" max="16384" width="9.140625" style="54"/>
  </cols>
  <sheetData>
    <row r="1" spans="1:11" x14ac:dyDescent="0.25">
      <c r="A1" s="131"/>
      <c r="B1" s="117" t="s">
        <v>0</v>
      </c>
      <c r="C1" s="72" t="s">
        <v>1</v>
      </c>
      <c r="D1" s="72" t="s">
        <v>2</v>
      </c>
      <c r="E1" s="72" t="s">
        <v>232</v>
      </c>
      <c r="F1" s="72" t="s">
        <v>4</v>
      </c>
      <c r="G1" s="72" t="s">
        <v>233</v>
      </c>
      <c r="H1" s="72" t="s">
        <v>3</v>
      </c>
      <c r="I1" s="72" t="s">
        <v>234</v>
      </c>
      <c r="J1" s="133" t="s">
        <v>5</v>
      </c>
      <c r="K1" s="134" t="s">
        <v>258</v>
      </c>
    </row>
    <row r="2" spans="1:11" x14ac:dyDescent="0.25">
      <c r="A2" s="131"/>
      <c r="B2" s="117" t="s">
        <v>237</v>
      </c>
      <c r="C2" s="116" t="s">
        <v>237</v>
      </c>
      <c r="D2" s="116" t="s">
        <v>238</v>
      </c>
      <c r="E2" s="116" t="s">
        <v>239</v>
      </c>
      <c r="F2" s="116" t="s">
        <v>240</v>
      </c>
      <c r="G2" s="116" t="s">
        <v>239</v>
      </c>
      <c r="H2" s="116" t="s">
        <v>240</v>
      </c>
      <c r="I2" s="116" t="s">
        <v>241</v>
      </c>
      <c r="J2" s="116" t="s">
        <v>241</v>
      </c>
      <c r="K2" s="135"/>
    </row>
    <row r="3" spans="1:11" x14ac:dyDescent="0.25">
      <c r="A3" s="78" t="str">
        <f>B3&amp;" "&amp;C3&amp;" ("&amp;K3&amp;")"</f>
        <v>Victron Energy SPM30-12 (SPM030301200)</v>
      </c>
      <c r="B3" s="75" t="s">
        <v>6</v>
      </c>
      <c r="C3" s="75" t="s">
        <v>7</v>
      </c>
      <c r="D3" s="75">
        <v>30</v>
      </c>
      <c r="E3" s="75">
        <v>18</v>
      </c>
      <c r="F3" s="75">
        <v>1.67</v>
      </c>
      <c r="G3" s="75">
        <v>22.5</v>
      </c>
      <c r="H3" s="75">
        <v>2</v>
      </c>
      <c r="I3" s="75">
        <v>-0.34</v>
      </c>
      <c r="J3" s="75">
        <v>3.6999999999999998E-2</v>
      </c>
      <c r="K3" s="75" t="s">
        <v>332</v>
      </c>
    </row>
    <row r="4" spans="1:11" x14ac:dyDescent="0.25">
      <c r="A4" s="78" t="str">
        <f t="shared" ref="A4:A19" si="0">B4&amp;" "&amp;C4&amp;" ("&amp;K4&amp;")"</f>
        <v>Victron Energy SPM50-12 (SPM030501200)</v>
      </c>
      <c r="B4" s="75" t="s">
        <v>6</v>
      </c>
      <c r="C4" s="75" t="s">
        <v>259</v>
      </c>
      <c r="D4" s="75">
        <v>50</v>
      </c>
      <c r="E4" s="75">
        <v>18</v>
      </c>
      <c r="F4" s="75">
        <v>2.78</v>
      </c>
      <c r="G4" s="75">
        <v>22.2</v>
      </c>
      <c r="H4" s="75">
        <v>3.16</v>
      </c>
      <c r="I4" s="75">
        <v>-0.34</v>
      </c>
      <c r="J4" s="75">
        <v>3.6999999999999998E-2</v>
      </c>
      <c r="K4" s="87" t="s">
        <v>333</v>
      </c>
    </row>
    <row r="5" spans="1:11" x14ac:dyDescent="0.25">
      <c r="A5" s="78" t="str">
        <f t="shared" si="0"/>
        <v>Victron Energy SPM80-12 (SPM030801200)</v>
      </c>
      <c r="B5" s="75" t="s">
        <v>6</v>
      </c>
      <c r="C5" s="75" t="s">
        <v>260</v>
      </c>
      <c r="D5" s="75">
        <v>80</v>
      </c>
      <c r="E5" s="75">
        <v>18</v>
      </c>
      <c r="F5" s="75">
        <v>4.45</v>
      </c>
      <c r="G5" s="75">
        <v>22.3</v>
      </c>
      <c r="H5" s="75">
        <v>4.96</v>
      </c>
      <c r="I5" s="75">
        <v>-0.34</v>
      </c>
      <c r="J5" s="75">
        <v>3.6999999999999998E-2</v>
      </c>
      <c r="K5" s="87" t="s">
        <v>334</v>
      </c>
    </row>
    <row r="6" spans="1:11" x14ac:dyDescent="0.25">
      <c r="A6" s="78" t="str">
        <f t="shared" si="0"/>
        <v>Victron Energy SPM100-12 (SPM031001200)</v>
      </c>
      <c r="B6" s="75" t="s">
        <v>6</v>
      </c>
      <c r="C6" s="75" t="s">
        <v>261</v>
      </c>
      <c r="D6" s="75">
        <v>100</v>
      </c>
      <c r="E6" s="75">
        <v>18</v>
      </c>
      <c r="F6" s="75">
        <v>5.56</v>
      </c>
      <c r="G6" s="75">
        <v>22.4</v>
      </c>
      <c r="H6" s="75">
        <v>6.53</v>
      </c>
      <c r="I6" s="75">
        <v>-0.34</v>
      </c>
      <c r="J6" s="75">
        <v>3.6999999999999998E-2</v>
      </c>
      <c r="K6" s="150" t="s">
        <v>335</v>
      </c>
    </row>
    <row r="7" spans="1:11" x14ac:dyDescent="0.25">
      <c r="A7" s="78" t="str">
        <f t="shared" si="0"/>
        <v>Victron Energy SPM150-12 (SPM031501200)</v>
      </c>
      <c r="B7" s="75" t="s">
        <v>6</v>
      </c>
      <c r="C7" s="75" t="s">
        <v>385</v>
      </c>
      <c r="D7" s="75">
        <v>150</v>
      </c>
      <c r="E7" s="75">
        <v>18</v>
      </c>
      <c r="F7" s="75">
        <v>8.33</v>
      </c>
      <c r="G7" s="75">
        <v>22.4</v>
      </c>
      <c r="H7" s="75">
        <v>9.8000000000000007</v>
      </c>
      <c r="I7" s="75">
        <v>-0.34</v>
      </c>
      <c r="J7" s="75">
        <v>0.05</v>
      </c>
      <c r="K7" s="87" t="s">
        <v>384</v>
      </c>
    </row>
    <row r="8" spans="1:11" x14ac:dyDescent="0.25">
      <c r="A8" s="78" t="str">
        <f t="shared" si="0"/>
        <v>Victron Energy SPM190-24 (SPM031902400)</v>
      </c>
      <c r="B8" s="75" t="s">
        <v>6</v>
      </c>
      <c r="C8" s="75" t="s">
        <v>228</v>
      </c>
      <c r="D8" s="75">
        <v>190</v>
      </c>
      <c r="E8" s="75">
        <v>36</v>
      </c>
      <c r="F8" s="75">
        <v>5.44</v>
      </c>
      <c r="G8" s="75">
        <v>43.2</v>
      </c>
      <c r="H8" s="75">
        <v>5.98</v>
      </c>
      <c r="I8" s="75">
        <v>-0.34</v>
      </c>
      <c r="J8" s="75">
        <v>3.6999999999999998E-2</v>
      </c>
      <c r="K8" s="87" t="s">
        <v>336</v>
      </c>
    </row>
    <row r="9" spans="1:11" x14ac:dyDescent="0.25">
      <c r="A9" s="78" t="str">
        <f t="shared" si="0"/>
        <v>Victron Energy SPM300-24 (SPM033002400 )</v>
      </c>
      <c r="B9" s="75" t="s">
        <v>6</v>
      </c>
      <c r="C9" s="75" t="s">
        <v>229</v>
      </c>
      <c r="D9" s="75">
        <v>300</v>
      </c>
      <c r="E9" s="75">
        <v>36</v>
      </c>
      <c r="F9" s="75">
        <v>8.06</v>
      </c>
      <c r="G9" s="75">
        <v>45.5</v>
      </c>
      <c r="H9" s="75">
        <v>8.56</v>
      </c>
      <c r="I9" s="75">
        <v>-0.34</v>
      </c>
      <c r="J9" s="75">
        <v>3.6999999999999998E-2</v>
      </c>
      <c r="K9" s="87" t="s">
        <v>337</v>
      </c>
    </row>
    <row r="10" spans="1:11" x14ac:dyDescent="0.25">
      <c r="A10" s="78" t="str">
        <f t="shared" si="0"/>
        <v>Victron Energy SPP20-12 (SPP030201200)</v>
      </c>
      <c r="B10" s="75" t="s">
        <v>6</v>
      </c>
      <c r="C10" s="75" t="s">
        <v>325</v>
      </c>
      <c r="D10" s="75">
        <v>20</v>
      </c>
      <c r="E10" s="75">
        <v>18</v>
      </c>
      <c r="F10" s="75">
        <v>1.1100000000000001</v>
      </c>
      <c r="G10" s="75">
        <v>22.5</v>
      </c>
      <c r="H10" s="75">
        <v>1.23</v>
      </c>
      <c r="I10" s="75">
        <v>-0.34</v>
      </c>
      <c r="J10" s="75">
        <v>4.4999999999999998E-2</v>
      </c>
      <c r="K10" s="87" t="s">
        <v>326</v>
      </c>
    </row>
    <row r="11" spans="1:11" x14ac:dyDescent="0.25">
      <c r="A11" s="78" t="str">
        <f t="shared" si="0"/>
        <v>Victron Energy SPP30-12 (SPP030301200)</v>
      </c>
      <c r="B11" s="75" t="s">
        <v>6</v>
      </c>
      <c r="C11" s="75" t="s">
        <v>31</v>
      </c>
      <c r="D11" s="75">
        <v>30</v>
      </c>
      <c r="E11" s="75">
        <v>18</v>
      </c>
      <c r="F11" s="75">
        <v>1.67</v>
      </c>
      <c r="G11" s="75">
        <v>22.5</v>
      </c>
      <c r="H11" s="75">
        <v>1.85</v>
      </c>
      <c r="I11" s="75">
        <v>-0.34</v>
      </c>
      <c r="J11" s="75">
        <v>3.6999999999999998E-2</v>
      </c>
      <c r="K11" s="87" t="s">
        <v>327</v>
      </c>
    </row>
    <row r="12" spans="1:11" x14ac:dyDescent="0.25">
      <c r="A12" s="78" t="str">
        <f t="shared" si="0"/>
        <v>Victron Energy SPP40-12 (SPP020401200)</v>
      </c>
      <c r="B12" s="75" t="s">
        <v>6</v>
      </c>
      <c r="C12" s="75" t="s">
        <v>262</v>
      </c>
      <c r="D12" s="75">
        <v>40</v>
      </c>
      <c r="E12" s="75">
        <v>18</v>
      </c>
      <c r="F12" s="75">
        <v>2.2200000000000002</v>
      </c>
      <c r="G12" s="75">
        <v>22.5</v>
      </c>
      <c r="H12" s="75">
        <v>2.4500000000000002</v>
      </c>
      <c r="I12" s="75">
        <v>-0.34</v>
      </c>
      <c r="J12" s="75">
        <v>3.6999999999999998E-2</v>
      </c>
      <c r="K12" s="87" t="s">
        <v>274</v>
      </c>
    </row>
    <row r="13" spans="1:11" x14ac:dyDescent="0.25">
      <c r="A13" s="78" t="str">
        <f t="shared" si="0"/>
        <v>Victron Energy SPP50-12 (SPP030501200)</v>
      </c>
      <c r="B13" s="75" t="s">
        <v>6</v>
      </c>
      <c r="C13" s="75" t="s">
        <v>263</v>
      </c>
      <c r="D13" s="75">
        <v>50</v>
      </c>
      <c r="E13" s="75">
        <v>18</v>
      </c>
      <c r="F13" s="75">
        <v>2.78</v>
      </c>
      <c r="G13" s="75">
        <v>22.2</v>
      </c>
      <c r="H13" s="75">
        <v>3.09</v>
      </c>
      <c r="I13" s="75">
        <v>-0.34</v>
      </c>
      <c r="J13" s="75">
        <v>3.6999999999999998E-2</v>
      </c>
      <c r="K13" s="150" t="s">
        <v>328</v>
      </c>
    </row>
    <row r="14" spans="1:11" x14ac:dyDescent="0.25">
      <c r="A14" s="78" t="str">
        <f t="shared" si="0"/>
        <v>Victron Energy SPP80-12 (SPP030801200)</v>
      </c>
      <c r="B14" s="75" t="s">
        <v>6</v>
      </c>
      <c r="C14" s="75" t="s">
        <v>264</v>
      </c>
      <c r="D14" s="75">
        <v>80</v>
      </c>
      <c r="E14" s="75">
        <v>18</v>
      </c>
      <c r="F14" s="75">
        <v>4.4400000000000004</v>
      </c>
      <c r="G14" s="75">
        <v>21.6</v>
      </c>
      <c r="H14" s="75">
        <v>5.0599999999999996</v>
      </c>
      <c r="I14" s="75">
        <v>-0.34</v>
      </c>
      <c r="J14" s="75">
        <v>3.6999999999999998E-2</v>
      </c>
      <c r="K14" s="87" t="s">
        <v>330</v>
      </c>
    </row>
    <row r="15" spans="1:11" x14ac:dyDescent="0.25">
      <c r="A15" s="78" t="str">
        <f t="shared" si="0"/>
        <v>Victron Energy SPP100-12 (SPP031001200)</v>
      </c>
      <c r="B15" s="75" t="s">
        <v>6</v>
      </c>
      <c r="C15" s="75" t="s">
        <v>265</v>
      </c>
      <c r="D15" s="75">
        <v>100</v>
      </c>
      <c r="E15" s="75">
        <v>18</v>
      </c>
      <c r="F15" s="75">
        <v>5.56</v>
      </c>
      <c r="G15" s="75">
        <v>21.6</v>
      </c>
      <c r="H15" s="75">
        <v>6.32</v>
      </c>
      <c r="I15" s="75">
        <v>-0.35</v>
      </c>
      <c r="J15" s="75">
        <v>3.6999999999999998E-2</v>
      </c>
      <c r="K15" s="87" t="s">
        <v>329</v>
      </c>
    </row>
    <row r="16" spans="1:11" x14ac:dyDescent="0.25">
      <c r="A16" s="78" t="str">
        <f t="shared" si="0"/>
        <v>Victron Energy SPP140-12 (SPP031401200)</v>
      </c>
      <c r="B16" s="75" t="s">
        <v>6</v>
      </c>
      <c r="C16" s="75" t="s">
        <v>230</v>
      </c>
      <c r="D16" s="75">
        <v>140</v>
      </c>
      <c r="E16" s="75">
        <v>20</v>
      </c>
      <c r="F16" s="75">
        <v>7.78</v>
      </c>
      <c r="G16" s="75">
        <v>21.6</v>
      </c>
      <c r="H16" s="75">
        <v>8.85</v>
      </c>
      <c r="I16" s="75">
        <v>-0.35</v>
      </c>
      <c r="J16" s="75">
        <v>3.6999999999999998E-2</v>
      </c>
      <c r="K16" s="87" t="s">
        <v>331</v>
      </c>
    </row>
    <row r="17" spans="1:11" x14ac:dyDescent="0.25">
      <c r="A17" s="78" t="str">
        <f t="shared" si="0"/>
        <v>Victron Energy SPP250-20 (SPP032502001)</v>
      </c>
      <c r="B17" s="75" t="s">
        <v>6</v>
      </c>
      <c r="C17" s="75" t="s">
        <v>266</v>
      </c>
      <c r="D17" s="75">
        <v>250</v>
      </c>
      <c r="E17" s="75">
        <v>30</v>
      </c>
      <c r="F17" s="75">
        <v>8.33</v>
      </c>
      <c r="G17" s="75">
        <v>36.01</v>
      </c>
      <c r="H17" s="75">
        <v>9.4</v>
      </c>
      <c r="I17" s="75">
        <v>-0.34</v>
      </c>
      <c r="J17" s="75">
        <v>4.4999999999999998E-2</v>
      </c>
      <c r="K17" s="87" t="s">
        <v>322</v>
      </c>
    </row>
    <row r="18" spans="1:11" x14ac:dyDescent="0.25">
      <c r="A18" s="78" t="str">
        <f t="shared" si="0"/>
        <v>Victron Energy SPP290-24 (SPP032902400)</v>
      </c>
      <c r="B18" s="75" t="s">
        <v>6</v>
      </c>
      <c r="C18" s="75" t="s">
        <v>324</v>
      </c>
      <c r="D18" s="75">
        <v>290</v>
      </c>
      <c r="E18" s="75">
        <v>36</v>
      </c>
      <c r="F18" s="75">
        <v>8.06</v>
      </c>
      <c r="G18" s="75">
        <v>44.1</v>
      </c>
      <c r="H18" s="75">
        <v>8.56</v>
      </c>
      <c r="I18" s="75">
        <v>-0.34</v>
      </c>
      <c r="J18" s="75">
        <v>4.4999999999999998E-2</v>
      </c>
      <c r="K18" s="87" t="s">
        <v>323</v>
      </c>
    </row>
    <row r="19" spans="1:11" x14ac:dyDescent="0.25">
      <c r="A19" s="78" t="str">
        <f t="shared" si="0"/>
        <v>SolarWorld 300W Mono ()</v>
      </c>
      <c r="B19" s="5" t="s">
        <v>400</v>
      </c>
      <c r="C19" s="5" t="s">
        <v>401</v>
      </c>
      <c r="D19" s="5">
        <v>300</v>
      </c>
      <c r="E19" s="5">
        <v>32.6</v>
      </c>
      <c r="F19" s="5">
        <v>9.31</v>
      </c>
      <c r="G19" s="5">
        <v>40</v>
      </c>
      <c r="H19" s="5">
        <v>9.83</v>
      </c>
      <c r="I19" s="5">
        <v>-0.28999999999999998</v>
      </c>
      <c r="J19" s="5">
        <v>7.0000000000000007E-2</v>
      </c>
      <c r="K19" s="152"/>
    </row>
    <row r="20" spans="1:11" x14ac:dyDescent="0.25">
      <c r="A20" s="78" t="str">
        <f t="shared" ref="A20:A29" si="1">B20&amp;" "&amp;C20</f>
        <v>SolarWorld 280W Protect</v>
      </c>
      <c r="B20" s="5" t="s">
        <v>400</v>
      </c>
      <c r="C20" s="5" t="s">
        <v>402</v>
      </c>
      <c r="D20" s="5">
        <v>280</v>
      </c>
      <c r="E20" s="5">
        <v>32.299999999999997</v>
      </c>
      <c r="F20" s="5">
        <v>9.1199999999999992</v>
      </c>
      <c r="G20" s="5">
        <v>39.799999999999997</v>
      </c>
      <c r="H20" s="5">
        <v>9.65</v>
      </c>
      <c r="I20" s="5">
        <v>-0.28999999999999998</v>
      </c>
      <c r="J20" s="5">
        <v>0.06</v>
      </c>
      <c r="K20" s="136"/>
    </row>
    <row r="21" spans="1:11" x14ac:dyDescent="0.25">
      <c r="A21" s="78" t="str">
        <f t="shared" ref="A21:A23" si="2">B21&amp;" "&amp;C21</f>
        <v>JA SOLAR 350W JAM6(K) 72-350/PR</v>
      </c>
      <c r="B21" s="5" t="s">
        <v>403</v>
      </c>
      <c r="C21" s="5" t="s">
        <v>404</v>
      </c>
      <c r="D21" s="5">
        <v>350</v>
      </c>
      <c r="E21" s="5">
        <v>38.58</v>
      </c>
      <c r="F21" s="5">
        <v>9.07</v>
      </c>
      <c r="G21" s="5">
        <v>47.24</v>
      </c>
      <c r="H21" s="5">
        <v>9.61</v>
      </c>
      <c r="I21" s="5">
        <v>-0.3</v>
      </c>
      <c r="J21" s="5">
        <v>0.06</v>
      </c>
      <c r="K21" s="136"/>
    </row>
    <row r="22" spans="1:11" x14ac:dyDescent="0.25">
      <c r="A22" s="78" t="str">
        <f t="shared" si="2"/>
        <v>SUNPOWER 150W flexible</v>
      </c>
      <c r="B22" s="5" t="s">
        <v>406</v>
      </c>
      <c r="C22" s="5" t="s">
        <v>405</v>
      </c>
      <c r="D22" s="5">
        <v>150</v>
      </c>
      <c r="E22" s="5">
        <v>25.2</v>
      </c>
      <c r="F22" s="5">
        <v>5.97</v>
      </c>
      <c r="G22" s="5">
        <v>30.11</v>
      </c>
      <c r="H22" s="5">
        <v>6.32</v>
      </c>
      <c r="I22" s="5">
        <v>-0.33</v>
      </c>
      <c r="J22" s="5">
        <v>0.05</v>
      </c>
      <c r="K22" s="136"/>
    </row>
    <row r="23" spans="1:11" x14ac:dyDescent="0.25">
      <c r="A23" s="78" t="str">
        <f t="shared" si="2"/>
        <v>SUNPOWER 150W flexible ETFE</v>
      </c>
      <c r="B23" s="5" t="s">
        <v>406</v>
      </c>
      <c r="C23" s="5" t="s">
        <v>407</v>
      </c>
      <c r="D23" s="5">
        <v>150</v>
      </c>
      <c r="E23" s="5">
        <v>25.52</v>
      </c>
      <c r="F23" s="5">
        <v>5.97</v>
      </c>
      <c r="G23" s="5">
        <v>30.11</v>
      </c>
      <c r="H23" s="5">
        <v>6.32</v>
      </c>
      <c r="I23" s="5">
        <v>-0.33</v>
      </c>
      <c r="J23" s="5">
        <v>0.05</v>
      </c>
      <c r="K23" s="136"/>
    </row>
    <row r="24" spans="1:11" x14ac:dyDescent="0.25">
      <c r="A24" s="78" t="str">
        <f t="shared" ref="A24:A27" si="3">B24&amp;" "&amp;C24</f>
        <v>SUNPOWER 110W flexible ETFE</v>
      </c>
      <c r="B24" s="5" t="s">
        <v>406</v>
      </c>
      <c r="C24" s="5" t="s">
        <v>408</v>
      </c>
      <c r="D24" s="5">
        <v>110</v>
      </c>
      <c r="E24" s="5">
        <v>18.559999999999999</v>
      </c>
      <c r="F24" s="5">
        <v>5.97</v>
      </c>
      <c r="G24" s="5">
        <v>21.9</v>
      </c>
      <c r="H24" s="5">
        <v>6.34</v>
      </c>
      <c r="I24" s="5">
        <v>-0.33</v>
      </c>
      <c r="J24" s="5">
        <v>0.05</v>
      </c>
      <c r="K24" s="136"/>
    </row>
    <row r="25" spans="1:11" x14ac:dyDescent="0.25">
      <c r="A25" s="78" t="str">
        <f t="shared" si="3"/>
        <v>BENQ 333W</v>
      </c>
      <c r="B25" s="5" t="s">
        <v>409</v>
      </c>
      <c r="C25" s="5" t="s">
        <v>410</v>
      </c>
      <c r="D25" s="5">
        <v>225</v>
      </c>
      <c r="E25" s="5">
        <v>35.5</v>
      </c>
      <c r="F25" s="5">
        <v>6.46</v>
      </c>
      <c r="G25" s="5">
        <v>45</v>
      </c>
      <c r="H25" s="5">
        <v>8.5</v>
      </c>
      <c r="I25" s="5">
        <v>-0.33</v>
      </c>
      <c r="J25" s="5">
        <v>0.06</v>
      </c>
      <c r="K25" s="136"/>
    </row>
    <row r="26" spans="1:11" x14ac:dyDescent="0.25">
      <c r="A26" s="78" t="str">
        <f t="shared" si="3"/>
        <v>SOLARNOVA 260W</v>
      </c>
      <c r="B26" s="5" t="s">
        <v>411</v>
      </c>
      <c r="C26" s="5" t="s">
        <v>412</v>
      </c>
      <c r="D26" s="5">
        <v>260</v>
      </c>
      <c r="E26" s="5">
        <v>30.55</v>
      </c>
      <c r="F26" s="5">
        <v>8.5299999999999994</v>
      </c>
      <c r="G26" s="5">
        <v>37.799999999999997</v>
      </c>
      <c r="H26" s="5">
        <v>8.99</v>
      </c>
      <c r="I26" s="5">
        <v>-0.33</v>
      </c>
      <c r="J26" s="5">
        <v>0.05</v>
      </c>
      <c r="K26" s="136"/>
    </row>
    <row r="27" spans="1:11" x14ac:dyDescent="0.25">
      <c r="A27" s="78" t="str">
        <f t="shared" si="3"/>
        <v>Custom: 9XYZ 9ABC</v>
      </c>
      <c r="B27" s="5" t="s">
        <v>267</v>
      </c>
      <c r="C27" s="5" t="s">
        <v>268</v>
      </c>
      <c r="D27" s="5">
        <v>275</v>
      </c>
      <c r="E27" s="5">
        <v>44.3</v>
      </c>
      <c r="F27" s="5">
        <v>5.54</v>
      </c>
      <c r="G27" s="5">
        <v>53</v>
      </c>
      <c r="H27" s="5">
        <v>5.86</v>
      </c>
      <c r="I27" s="5">
        <v>-0.25</v>
      </c>
      <c r="J27" s="5">
        <v>0.03</v>
      </c>
      <c r="K27" s="136"/>
    </row>
    <row r="28" spans="1:11" x14ac:dyDescent="0.25">
      <c r="A28" s="78" t="str">
        <f t="shared" si="1"/>
        <v>Custom: 10XYZ 10ABC</v>
      </c>
      <c r="B28" s="5" t="s">
        <v>382</v>
      </c>
      <c r="C28" s="5" t="s">
        <v>383</v>
      </c>
      <c r="D28" s="5">
        <v>275</v>
      </c>
      <c r="E28" s="5">
        <v>44.3</v>
      </c>
      <c r="F28" s="5">
        <v>5.54</v>
      </c>
      <c r="G28" s="5">
        <v>53</v>
      </c>
      <c r="H28" s="5">
        <v>5.86</v>
      </c>
      <c r="I28" s="5">
        <v>-0.25</v>
      </c>
      <c r="J28" s="5">
        <v>0.03</v>
      </c>
      <c r="K28" s="136"/>
    </row>
    <row r="29" spans="1:11" x14ac:dyDescent="0.25">
      <c r="A29" s="78" t="str">
        <f t="shared" si="1"/>
        <v>Custom: 11XYZ 11ABC</v>
      </c>
      <c r="B29" s="5" t="s">
        <v>390</v>
      </c>
      <c r="C29" s="5" t="s">
        <v>391</v>
      </c>
      <c r="D29" s="5">
        <v>275</v>
      </c>
      <c r="E29" s="5">
        <v>44.3</v>
      </c>
      <c r="F29" s="5">
        <v>5.54</v>
      </c>
      <c r="G29" s="5">
        <v>53</v>
      </c>
      <c r="H29" s="5">
        <v>5.86</v>
      </c>
      <c r="I29" s="5">
        <v>-0.25</v>
      </c>
      <c r="J29" s="5">
        <v>0.03</v>
      </c>
      <c r="K29" s="136"/>
    </row>
    <row r="31" spans="1:11" x14ac:dyDescent="0.25">
      <c r="A31" s="120" t="str">
        <f>IF(Form!H3=5,INDEX(Language!B4:F51,40,1),IF(Form!H3=4,INDEX(Language!B4:F51,40,2),IF(Form!H3=3,INDEX(Language!B4:F51,40,3),IF(Form!H3=2,INDEX(Language!B4:F51,40,4),INDEX(Language!B4:F51,40,5)))))</f>
        <v>Coefficients de température:</v>
      </c>
      <c r="B31" s="121"/>
      <c r="C31" s="121"/>
      <c r="D31" s="121"/>
      <c r="E31" s="121"/>
      <c r="F31" s="121"/>
      <c r="G31" s="121"/>
      <c r="H31" s="121"/>
      <c r="I31" s="121"/>
      <c r="J31" s="122"/>
    </row>
    <row r="32" spans="1:11" x14ac:dyDescent="0.25">
      <c r="A32" s="123" t="str">
        <f>IF(Form!H3=5,INDEX(Language!B4:F51,41,1),IF(Form!H3=4,INDEX(Language!B4:F51,41,2),IF(Form!H3=3,INDEX(Language!B4:F51,41,3),IF(Form!H3=2,INDEX(Language!B4:F51,41,4),INDEX(Language!B4:F51,41,5)))))</f>
        <v>Si vous avez le Coefficient de température à tension de circuit ouvert  en mV/°C , voici comment changer ce coefficient en %/°C</v>
      </c>
      <c r="B32" s="124"/>
      <c r="C32" s="124"/>
      <c r="D32" s="124"/>
      <c r="E32" s="124"/>
      <c r="F32" s="124"/>
      <c r="G32" s="124"/>
      <c r="H32" s="124"/>
      <c r="I32" s="124"/>
      <c r="J32" s="125"/>
    </row>
    <row r="33" spans="1:10" x14ac:dyDescent="0.25">
      <c r="A33" s="126" t="str">
        <f>IF(Form!H3=5,INDEX(Language!B4:F51,42,1),IF(Form!H3=4,INDEX(Language!B4:F51,42,2),IF(Form!H3=3,INDEX(Language!B4:F51,42,3),IF(Form!H3=2,INDEX(Language!B4:F51,42,4),INDEX(Language!B4:F51,42,5)))))</f>
        <v>Ecrire la valeur de la VOC en Volt:</v>
      </c>
      <c r="B33" s="124"/>
      <c r="C33" s="5">
        <v>24.1</v>
      </c>
      <c r="D33" s="127" t="s">
        <v>249</v>
      </c>
      <c r="E33" s="124"/>
      <c r="F33" s="124"/>
      <c r="G33" s="124"/>
      <c r="H33" s="124"/>
      <c r="I33" s="124"/>
      <c r="J33" s="125"/>
    </row>
    <row r="34" spans="1:10" x14ac:dyDescent="0.25">
      <c r="A34" s="126" t="str">
        <f>IF(Form!H3=5,INDEX(Language!B4:F51,43,1),IF(Form!H3=4,INDEX(Language!B4:F51,43,2),IF(Form!H3=3,INDEX(Language!B4:F51,43,3),IF(Form!H3=2,INDEX(Language!B4:F51,43,4),INDEX(Language!B4:F51,43,5)))))</f>
        <v>Ecrire la valeur du coefficient en mV/°C:</v>
      </c>
      <c r="B34" s="124"/>
      <c r="C34" s="5">
        <v>-77</v>
      </c>
      <c r="D34" s="127" t="s">
        <v>250</v>
      </c>
      <c r="E34" s="124"/>
      <c r="F34" s="124"/>
      <c r="G34" s="124"/>
      <c r="H34" s="124"/>
      <c r="I34" s="124"/>
      <c r="J34" s="125"/>
    </row>
    <row r="35" spans="1:10" x14ac:dyDescent="0.25">
      <c r="A35" s="126" t="str">
        <f>IF(Form!H3=5,INDEX(Language!B4:F51,44,1),IF(Form!H3=4,INDEX(Language!B4:F51,44,2),IF(Form!H3=3,INDEX(Language!B4:F51,44,3),IF(Form!H3=2,INDEX(Language!B4:F51,44,4),INDEX(Language!B4:F51,44,5)))))</f>
        <v>La valeur du coefficient en %/°C est de:</v>
      </c>
      <c r="B35" s="124"/>
      <c r="C35" s="119">
        <f>(C34/1000)/(C33/100)</f>
        <v>-0.31950207468879666</v>
      </c>
      <c r="D35" s="127" t="s">
        <v>251</v>
      </c>
      <c r="E35" s="124"/>
      <c r="F35" s="124"/>
      <c r="G35" s="124"/>
      <c r="H35" s="124"/>
      <c r="I35" s="124"/>
      <c r="J35" s="125"/>
    </row>
    <row r="36" spans="1:10" x14ac:dyDescent="0.25">
      <c r="A36" s="128"/>
      <c r="B36" s="124"/>
      <c r="C36" s="124"/>
      <c r="D36" s="124"/>
      <c r="E36" s="124"/>
      <c r="F36" s="124"/>
      <c r="G36" s="124"/>
      <c r="H36" s="124"/>
      <c r="I36" s="124"/>
      <c r="J36" s="125"/>
    </row>
    <row r="37" spans="1:10" x14ac:dyDescent="0.25">
      <c r="A37" s="123" t="str">
        <f>IF(Form!H3=5,INDEX(Language!B4:F51,45,1),IF(Form!H3=4,INDEX(Language!B4:F51,45,2),IF(Form!H3=3,INDEX(Language!B4:F51,45,3),IF(Form!H3=2,INDEX(Language!B4:F51,45,4),INDEX(Language!B4:F51,45,5)))))</f>
        <v>Si vous avez le Coefficient de température à Courant de Court-Cicuit en mA/°C, voici comment changer ce coefficient en %/°C</v>
      </c>
      <c r="B37" s="124"/>
      <c r="C37" s="124"/>
      <c r="D37" s="124"/>
      <c r="E37" s="124"/>
      <c r="F37" s="124"/>
      <c r="G37" s="124"/>
      <c r="H37" s="124"/>
      <c r="I37" s="124"/>
      <c r="J37" s="125"/>
    </row>
    <row r="38" spans="1:10" x14ac:dyDescent="0.25">
      <c r="A38" s="126" t="str">
        <f>IF(Form!H3=5,INDEX(Language!B4:F51,46,1),IF(Form!H3=4,INDEX(Language!B4:F51,46,2),IF(Form!H3=3,INDEX(Language!B4:F51,46,3),IF(Form!H3=2,INDEX(Language!B4:F51,46,4),INDEX(Language!B4:F51,46,5)))))</f>
        <v>Ecrire la valeur de Isc en Ampère:</v>
      </c>
      <c r="B38" s="124"/>
      <c r="C38" s="5">
        <v>8.7200000000000006</v>
      </c>
      <c r="D38" s="127" t="s">
        <v>252</v>
      </c>
      <c r="E38" s="124"/>
      <c r="F38" s="124"/>
      <c r="G38" s="124"/>
      <c r="H38" s="124"/>
      <c r="I38" s="124"/>
      <c r="J38" s="125"/>
    </row>
    <row r="39" spans="1:10" x14ac:dyDescent="0.25">
      <c r="A39" s="126" t="str">
        <f>IF(Form!H3=5,INDEX(Language!B4:F51,47,1),IF(Form!H3=4,INDEX(Language!B4:F51,47,2),IF(Form!H3=3,INDEX(Language!B4:F51,47,3),IF(Form!H3=2,INDEX(Language!B4:F51,47,4),INDEX(Language!B4:F51,47,5)))))</f>
        <v>Ecrire la valeur du coefficient en mA/°C:</v>
      </c>
      <c r="B39" s="124"/>
      <c r="C39" s="5">
        <v>4.7</v>
      </c>
      <c r="D39" s="127" t="s">
        <v>253</v>
      </c>
      <c r="E39" s="124"/>
      <c r="F39" s="124"/>
      <c r="G39" s="124"/>
      <c r="H39" s="124"/>
      <c r="I39" s="124"/>
      <c r="J39" s="125"/>
    </row>
    <row r="40" spans="1:10" x14ac:dyDescent="0.25">
      <c r="A40" s="126" t="str">
        <f>IF(Form!H3=5,INDEX(Language!B4:F51,48,1),IF(Form!H3=4,INDEX(Language!B4:F51,48,2),IF(Form!H3=3,INDEX(Language!B4:F51,48,3),IF(Form!H3=2,INDEX(Language!B4:F51,48,4),INDEX(Language!B4:F51,48,5)))))</f>
        <v>La valeur du coefficient en %/°C est de :</v>
      </c>
      <c r="B40" s="124"/>
      <c r="C40" s="119">
        <f>(C39/1000)/(C38/100)</f>
        <v>5.3899082568807342E-2</v>
      </c>
      <c r="D40" s="127" t="s">
        <v>251</v>
      </c>
      <c r="E40" s="124"/>
      <c r="F40" s="124"/>
      <c r="G40" s="124"/>
      <c r="H40" s="124"/>
      <c r="I40" s="124"/>
      <c r="J40" s="125"/>
    </row>
    <row r="41" spans="1:10" x14ac:dyDescent="0.25">
      <c r="A41" s="129"/>
      <c r="B41" s="118"/>
      <c r="C41" s="118"/>
      <c r="D41" s="118"/>
      <c r="E41" s="118"/>
      <c r="F41" s="118"/>
      <c r="G41" s="118"/>
      <c r="H41" s="118"/>
      <c r="I41" s="118"/>
      <c r="J41" s="130"/>
    </row>
  </sheetData>
  <sheetProtection sheet="1" objects="1" scenarios="1" selectLockedCells="1"/>
  <conditionalFormatting sqref="I26:I29 I19:I22">
    <cfRule type="cellIs" dxfId="33" priority="31" operator="lessThan">
      <formula>-0.5</formula>
    </cfRule>
    <cfRule type="cellIs" dxfId="32" priority="32" operator="greaterThanOrEqual">
      <formula>0</formula>
    </cfRule>
  </conditionalFormatting>
  <conditionalFormatting sqref="J26:J29 J19:J24">
    <cfRule type="cellIs" dxfId="31" priority="29" operator="greaterThan">
      <formula>0.1</formula>
    </cfRule>
    <cfRule type="cellIs" dxfId="30" priority="30" operator="lessThan">
      <formula>0</formula>
    </cfRule>
  </conditionalFormatting>
  <conditionalFormatting sqref="I23">
    <cfRule type="cellIs" dxfId="29" priority="27" operator="lessThan">
      <formula>-0.5</formula>
    </cfRule>
    <cfRule type="cellIs" dxfId="28" priority="28" operator="greaterThanOrEqual">
      <formula>0</formula>
    </cfRule>
  </conditionalFormatting>
  <conditionalFormatting sqref="J23:J24">
    <cfRule type="cellIs" dxfId="27" priority="25" operator="greaterThan">
      <formula>0.1</formula>
    </cfRule>
    <cfRule type="cellIs" dxfId="26" priority="26" operator="lessThan">
      <formula>0</formula>
    </cfRule>
  </conditionalFormatting>
  <conditionalFormatting sqref="I22:I27">
    <cfRule type="cellIs" dxfId="25" priority="23" operator="lessThan">
      <formula>-0.5</formula>
    </cfRule>
    <cfRule type="cellIs" dxfId="24" priority="24" operator="greaterThanOrEqual">
      <formula>0</formula>
    </cfRule>
  </conditionalFormatting>
  <conditionalFormatting sqref="J22:J27">
    <cfRule type="cellIs" dxfId="23" priority="21" operator="greaterThan">
      <formula>0.1</formula>
    </cfRule>
    <cfRule type="cellIs" dxfId="22" priority="22" operator="lessThan">
      <formula>0</formula>
    </cfRule>
  </conditionalFormatting>
  <conditionalFormatting sqref="I19:I20">
    <cfRule type="cellIs" dxfId="21" priority="19" operator="lessThan">
      <formula>-0.5</formula>
    </cfRule>
    <cfRule type="cellIs" dxfId="20" priority="20" operator="greaterThanOrEqual">
      <formula>0</formula>
    </cfRule>
  </conditionalFormatting>
  <conditionalFormatting sqref="J19:J20">
    <cfRule type="cellIs" dxfId="19" priority="17" operator="greaterThan">
      <formula>0.1</formula>
    </cfRule>
    <cfRule type="cellIs" dxfId="18" priority="18" operator="lessThan">
      <formula>0</formula>
    </cfRule>
  </conditionalFormatting>
  <conditionalFormatting sqref="I22">
    <cfRule type="cellIs" dxfId="17" priority="15" operator="lessThan">
      <formula>-0.5</formula>
    </cfRule>
    <cfRule type="cellIs" dxfId="16" priority="16" operator="greaterThanOrEqual">
      <formula>0</formula>
    </cfRule>
  </conditionalFormatting>
  <conditionalFormatting sqref="J22:J24">
    <cfRule type="cellIs" dxfId="15" priority="13" operator="greaterThan">
      <formula>0.1</formula>
    </cfRule>
    <cfRule type="cellIs" dxfId="14" priority="14" operator="lessThan">
      <formula>0</formula>
    </cfRule>
  </conditionalFormatting>
  <conditionalFormatting sqref="I22">
    <cfRule type="cellIs" dxfId="13" priority="11" operator="lessThan">
      <formula>-0.5</formula>
    </cfRule>
    <cfRule type="cellIs" dxfId="12" priority="12" operator="greaterThanOrEqual">
      <formula>0</formula>
    </cfRule>
  </conditionalFormatting>
  <conditionalFormatting sqref="J22:J24">
    <cfRule type="cellIs" dxfId="11" priority="9" operator="greaterThan">
      <formula>0.1</formula>
    </cfRule>
    <cfRule type="cellIs" dxfId="10" priority="10" operator="lessThan">
      <formula>0</formula>
    </cfRule>
  </conditionalFormatting>
  <conditionalFormatting sqref="I18">
    <cfRule type="cellIs" dxfId="9" priority="7" operator="lessThan">
      <formula>-0.5</formula>
    </cfRule>
    <cfRule type="cellIs" dxfId="8" priority="8" operator="greaterThanOrEqual">
      <formula>0</formula>
    </cfRule>
  </conditionalFormatting>
  <conditionalFormatting sqref="J18">
    <cfRule type="cellIs" dxfId="7" priority="5" operator="greaterThan">
      <formula>0.1</formula>
    </cfRule>
    <cfRule type="cellIs" dxfId="6" priority="6" operator="lessThan">
      <formula>0</formula>
    </cfRule>
  </conditionalFormatting>
  <conditionalFormatting sqref="I21">
    <cfRule type="cellIs" dxfId="5" priority="3" operator="lessThan">
      <formula>-0.5</formula>
    </cfRule>
    <cfRule type="cellIs" dxfId="4" priority="4" operator="greaterThanOrEqual">
      <formula>0</formula>
    </cfRule>
  </conditionalFormatting>
  <conditionalFormatting sqref="J21">
    <cfRule type="cellIs" dxfId="3" priority="1" operator="greaterThan">
      <formula>0.1</formula>
    </cfRule>
    <cfRule type="cellIs" dxfId="2" priority="2"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19"/>
  <sheetViews>
    <sheetView workbookViewId="0">
      <selection activeCell="O21" sqref="O21"/>
    </sheetView>
  </sheetViews>
  <sheetFormatPr baseColWidth="10" defaultColWidth="9.140625" defaultRowHeight="15" x14ac:dyDescent="0.25"/>
  <cols>
    <col min="1" max="1" width="51.5703125" style="52" bestFit="1" customWidth="1"/>
    <col min="2" max="2" width="14" style="52" bestFit="1" customWidth="1"/>
    <col min="3" max="3" width="37.42578125" style="52" bestFit="1" customWidth="1"/>
    <col min="4" max="7" width="12.7109375" style="52" bestFit="1" customWidth="1"/>
    <col min="8" max="8" width="8.42578125" style="52" bestFit="1" customWidth="1"/>
    <col min="9" max="9" width="8.140625" style="52" bestFit="1" customWidth="1"/>
    <col min="10" max="10" width="10.140625" style="52" bestFit="1" customWidth="1"/>
    <col min="11" max="14" width="5" style="52" customWidth="1"/>
    <col min="15" max="15" width="7.42578125" style="52" customWidth="1"/>
    <col min="16" max="16" width="8.5703125" style="52" bestFit="1" customWidth="1"/>
    <col min="17" max="17" width="13.5703125" style="52" bestFit="1" customWidth="1"/>
    <col min="18" max="20" width="13.28515625" style="52" customWidth="1"/>
    <col min="21" max="16384" width="9.140625" style="52"/>
  </cols>
  <sheetData>
    <row r="1" spans="1:21" x14ac:dyDescent="0.25">
      <c r="A1" s="72"/>
      <c r="B1" s="72" t="s">
        <v>0</v>
      </c>
      <c r="C1" s="72" t="s">
        <v>1</v>
      </c>
      <c r="D1" s="72" t="s">
        <v>10</v>
      </c>
      <c r="E1" s="72" t="s">
        <v>11</v>
      </c>
      <c r="F1" s="72" t="s">
        <v>12</v>
      </c>
      <c r="G1" s="72" t="s">
        <v>13</v>
      </c>
      <c r="H1" s="72" t="s">
        <v>62</v>
      </c>
      <c r="I1" s="72" t="s">
        <v>63</v>
      </c>
      <c r="J1" s="72" t="s">
        <v>64</v>
      </c>
      <c r="K1" s="155" t="s">
        <v>19</v>
      </c>
      <c r="L1" s="155"/>
      <c r="M1" s="155"/>
      <c r="N1" s="155"/>
      <c r="O1" s="140" t="s">
        <v>318</v>
      </c>
      <c r="P1" s="72" t="s">
        <v>20</v>
      </c>
      <c r="Q1" s="73" t="s">
        <v>26</v>
      </c>
      <c r="R1" s="73" t="s">
        <v>27</v>
      </c>
      <c r="S1" s="73" t="s">
        <v>28</v>
      </c>
      <c r="T1" s="73" t="s">
        <v>29</v>
      </c>
      <c r="U1" s="54"/>
    </row>
    <row r="2" spans="1:21" x14ac:dyDescent="0.25">
      <c r="A2" s="74" t="str">
        <f t="shared" ref="A2:A19" si="0">B2&amp;" "&amp;C2</f>
        <v>Victron Energy Blue-/ SmartSolar MPPT 75/10</v>
      </c>
      <c r="B2" s="75" t="s">
        <v>6</v>
      </c>
      <c r="C2" s="75" t="s">
        <v>374</v>
      </c>
      <c r="D2" s="75">
        <v>135</v>
      </c>
      <c r="E2" s="75">
        <v>270</v>
      </c>
      <c r="F2" s="76">
        <v>0</v>
      </c>
      <c r="G2" s="76">
        <v>0</v>
      </c>
      <c r="H2" s="75">
        <v>75</v>
      </c>
      <c r="I2" s="77">
        <v>5</v>
      </c>
      <c r="J2" s="77">
        <v>1</v>
      </c>
      <c r="K2" s="75">
        <v>12</v>
      </c>
      <c r="L2" s="75">
        <v>24</v>
      </c>
      <c r="M2" s="76" t="s">
        <v>120</v>
      </c>
      <c r="N2" s="76" t="s">
        <v>120</v>
      </c>
      <c r="O2" s="76">
        <v>13</v>
      </c>
      <c r="P2" s="75">
        <v>10</v>
      </c>
      <c r="Q2" s="75">
        <v>0.98</v>
      </c>
      <c r="R2" s="75">
        <v>0.98</v>
      </c>
      <c r="S2" s="76">
        <v>0</v>
      </c>
      <c r="T2" s="76">
        <v>0</v>
      </c>
      <c r="U2" s="54"/>
    </row>
    <row r="3" spans="1:21" x14ac:dyDescent="0.25">
      <c r="A3" s="74" t="str">
        <f t="shared" si="0"/>
        <v>Victron Energy Blue-/ SmartSolar MPPT 75/15</v>
      </c>
      <c r="B3" s="75" t="s">
        <v>6</v>
      </c>
      <c r="C3" s="75" t="s">
        <v>375</v>
      </c>
      <c r="D3" s="75">
        <v>200</v>
      </c>
      <c r="E3" s="75">
        <v>400</v>
      </c>
      <c r="F3" s="76">
        <v>0</v>
      </c>
      <c r="G3" s="76">
        <v>0</v>
      </c>
      <c r="H3" s="75">
        <v>75</v>
      </c>
      <c r="I3" s="77">
        <v>5</v>
      </c>
      <c r="J3" s="77">
        <v>1</v>
      </c>
      <c r="K3" s="75">
        <v>12</v>
      </c>
      <c r="L3" s="75">
        <v>24</v>
      </c>
      <c r="M3" s="76" t="s">
        <v>120</v>
      </c>
      <c r="N3" s="76" t="s">
        <v>120</v>
      </c>
      <c r="O3" s="76">
        <v>15</v>
      </c>
      <c r="P3" s="75">
        <v>15</v>
      </c>
      <c r="Q3" s="75">
        <v>0.98</v>
      </c>
      <c r="R3" s="75">
        <v>0.98</v>
      </c>
      <c r="S3" s="76">
        <v>0</v>
      </c>
      <c r="T3" s="76">
        <v>0</v>
      </c>
      <c r="U3" s="54"/>
    </row>
    <row r="4" spans="1:21" x14ac:dyDescent="0.25">
      <c r="A4" s="74" t="str">
        <f t="shared" si="0"/>
        <v>Victron Energy Blue-/ SmartSolar MPPT 100/15</v>
      </c>
      <c r="B4" s="75" t="s">
        <v>6</v>
      </c>
      <c r="C4" s="75" t="s">
        <v>376</v>
      </c>
      <c r="D4" s="75">
        <v>200</v>
      </c>
      <c r="E4" s="75">
        <v>400</v>
      </c>
      <c r="F4" s="76">
        <v>0</v>
      </c>
      <c r="G4" s="76">
        <v>0</v>
      </c>
      <c r="H4" s="75">
        <v>100</v>
      </c>
      <c r="I4" s="77">
        <v>5</v>
      </c>
      <c r="J4" s="77">
        <v>1</v>
      </c>
      <c r="K4" s="75">
        <v>12</v>
      </c>
      <c r="L4" s="75">
        <v>24</v>
      </c>
      <c r="M4" s="76" t="s">
        <v>120</v>
      </c>
      <c r="N4" s="76" t="s">
        <v>120</v>
      </c>
      <c r="O4" s="76">
        <v>15</v>
      </c>
      <c r="P4" s="75">
        <v>15</v>
      </c>
      <c r="Q4" s="75">
        <v>0.98</v>
      </c>
      <c r="R4" s="75">
        <v>0.98</v>
      </c>
      <c r="S4" s="76">
        <v>0</v>
      </c>
      <c r="T4" s="76">
        <v>0</v>
      </c>
      <c r="U4" s="54"/>
    </row>
    <row r="5" spans="1:21" x14ac:dyDescent="0.25">
      <c r="A5" s="74" t="str">
        <f t="shared" si="0"/>
        <v>Victron Energy Smart Solar MPPT 100/20</v>
      </c>
      <c r="B5" s="75" t="s">
        <v>6</v>
      </c>
      <c r="C5" s="75" t="s">
        <v>380</v>
      </c>
      <c r="D5" s="75">
        <v>290</v>
      </c>
      <c r="E5" s="75">
        <v>580</v>
      </c>
      <c r="F5" s="76">
        <v>0</v>
      </c>
      <c r="G5" s="76">
        <v>0</v>
      </c>
      <c r="H5" s="75">
        <v>100</v>
      </c>
      <c r="I5" s="77">
        <v>5</v>
      </c>
      <c r="J5" s="77">
        <v>1</v>
      </c>
      <c r="K5" s="75">
        <v>12</v>
      </c>
      <c r="L5" s="75">
        <v>24</v>
      </c>
      <c r="M5" s="76" t="s">
        <v>120</v>
      </c>
      <c r="N5" s="76" t="s">
        <v>120</v>
      </c>
      <c r="O5" s="76">
        <v>20</v>
      </c>
      <c r="P5" s="75">
        <v>20</v>
      </c>
      <c r="Q5" s="75">
        <v>0.98</v>
      </c>
      <c r="R5" s="75">
        <v>0.98</v>
      </c>
      <c r="S5" s="76">
        <v>0</v>
      </c>
      <c r="T5" s="76">
        <v>0</v>
      </c>
      <c r="U5" s="54"/>
    </row>
    <row r="6" spans="1:21" x14ac:dyDescent="0.25">
      <c r="A6" s="74" t="str">
        <f t="shared" si="0"/>
        <v>Victron Energy Blue-/ SmartSolar MPPT 100/30</v>
      </c>
      <c r="B6" s="75" t="s">
        <v>6</v>
      </c>
      <c r="C6" s="75" t="s">
        <v>377</v>
      </c>
      <c r="D6" s="87">
        <v>440</v>
      </c>
      <c r="E6" s="87">
        <v>880</v>
      </c>
      <c r="F6" s="88">
        <v>0</v>
      </c>
      <c r="G6" s="88">
        <v>0</v>
      </c>
      <c r="H6" s="87">
        <v>100</v>
      </c>
      <c r="I6" s="89">
        <v>5</v>
      </c>
      <c r="J6" s="89">
        <v>1</v>
      </c>
      <c r="K6" s="87">
        <v>12</v>
      </c>
      <c r="L6" s="87">
        <v>24</v>
      </c>
      <c r="M6" s="88" t="s">
        <v>120</v>
      </c>
      <c r="N6" s="88" t="s">
        <v>120</v>
      </c>
      <c r="O6" s="88">
        <v>30</v>
      </c>
      <c r="P6" s="87">
        <v>30</v>
      </c>
      <c r="Q6" s="87">
        <v>0.98</v>
      </c>
      <c r="R6" s="87">
        <v>0.98</v>
      </c>
      <c r="S6" s="88">
        <v>0</v>
      </c>
      <c r="T6" s="88">
        <v>0</v>
      </c>
      <c r="U6" s="54"/>
    </row>
    <row r="7" spans="1:21" x14ac:dyDescent="0.25">
      <c r="A7" s="74" t="str">
        <f t="shared" si="0"/>
        <v>Victron Energy Blue-/ SmartSolar MPPT 100/50</v>
      </c>
      <c r="B7" s="75" t="s">
        <v>6</v>
      </c>
      <c r="C7" s="75" t="s">
        <v>378</v>
      </c>
      <c r="D7" s="87">
        <v>700</v>
      </c>
      <c r="E7" s="87">
        <v>1400</v>
      </c>
      <c r="F7" s="88">
        <v>0</v>
      </c>
      <c r="G7" s="88">
        <v>0</v>
      </c>
      <c r="H7" s="87">
        <v>100</v>
      </c>
      <c r="I7" s="89">
        <v>5</v>
      </c>
      <c r="J7" s="89">
        <v>1</v>
      </c>
      <c r="K7" s="87">
        <v>12</v>
      </c>
      <c r="L7" s="87">
        <v>24</v>
      </c>
      <c r="M7" s="88" t="s">
        <v>120</v>
      </c>
      <c r="N7" s="88" t="s">
        <v>120</v>
      </c>
      <c r="O7" s="88">
        <v>50</v>
      </c>
      <c r="P7" s="87">
        <v>50</v>
      </c>
      <c r="Q7" s="87">
        <v>0.98</v>
      </c>
      <c r="R7" s="87">
        <v>0.98</v>
      </c>
      <c r="S7" s="88">
        <v>0</v>
      </c>
      <c r="T7" s="88">
        <v>0</v>
      </c>
      <c r="U7" s="54"/>
    </row>
    <row r="8" spans="1:21" x14ac:dyDescent="0.25">
      <c r="A8" s="74" t="str">
        <f t="shared" si="0"/>
        <v>Victron Energy Blue-/ SmartSolar MPPT 150/35</v>
      </c>
      <c r="B8" s="75" t="s">
        <v>6</v>
      </c>
      <c r="C8" s="75" t="s">
        <v>379</v>
      </c>
      <c r="D8" s="87">
        <v>500</v>
      </c>
      <c r="E8" s="87">
        <v>1000</v>
      </c>
      <c r="F8" s="87">
        <v>1500</v>
      </c>
      <c r="G8" s="87">
        <v>2000</v>
      </c>
      <c r="H8" s="87">
        <v>150</v>
      </c>
      <c r="I8" s="89">
        <v>5</v>
      </c>
      <c r="J8" s="89">
        <v>1</v>
      </c>
      <c r="K8" s="87">
        <v>12</v>
      </c>
      <c r="L8" s="87">
        <v>24</v>
      </c>
      <c r="M8" s="87">
        <v>36</v>
      </c>
      <c r="N8" s="87">
        <v>48</v>
      </c>
      <c r="O8" s="87">
        <v>40</v>
      </c>
      <c r="P8" s="87">
        <v>35</v>
      </c>
      <c r="Q8" s="87">
        <v>0.98</v>
      </c>
      <c r="R8" s="87">
        <v>0.98</v>
      </c>
      <c r="S8" s="87">
        <v>0.98</v>
      </c>
      <c r="T8" s="87">
        <v>0.98</v>
      </c>
      <c r="U8" s="54"/>
    </row>
    <row r="9" spans="1:21" x14ac:dyDescent="0.25">
      <c r="A9" s="74" t="str">
        <f t="shared" si="0"/>
        <v>Victron Energy BlueSolar MPPT 150/45 Tr/MC4</v>
      </c>
      <c r="B9" s="75" t="s">
        <v>6</v>
      </c>
      <c r="C9" s="75" t="s">
        <v>293</v>
      </c>
      <c r="D9" s="87">
        <v>650</v>
      </c>
      <c r="E9" s="87">
        <v>1300</v>
      </c>
      <c r="F9" s="87"/>
      <c r="G9" s="87">
        <v>2600</v>
      </c>
      <c r="H9" s="87">
        <v>150</v>
      </c>
      <c r="I9" s="89">
        <v>5</v>
      </c>
      <c r="J9" s="89">
        <v>1</v>
      </c>
      <c r="K9" s="87">
        <v>12</v>
      </c>
      <c r="L9" s="87">
        <v>24</v>
      </c>
      <c r="M9" s="87">
        <v>36</v>
      </c>
      <c r="N9" s="87">
        <v>48</v>
      </c>
      <c r="O9" s="87">
        <v>50</v>
      </c>
      <c r="P9" s="87">
        <v>45</v>
      </c>
      <c r="Q9" s="87">
        <v>0.98</v>
      </c>
      <c r="R9" s="87">
        <v>0.98</v>
      </c>
      <c r="S9" s="87">
        <v>0.98</v>
      </c>
      <c r="T9" s="87">
        <v>0.98</v>
      </c>
      <c r="U9" s="54"/>
    </row>
    <row r="10" spans="1:21" x14ac:dyDescent="0.25">
      <c r="A10" s="74" t="str">
        <f t="shared" si="0"/>
        <v>Victron Energy BlueSolar MPPT 150/60 Tr/MC4</v>
      </c>
      <c r="B10" s="75" t="s">
        <v>6</v>
      </c>
      <c r="C10" s="75" t="s">
        <v>294</v>
      </c>
      <c r="D10" s="87">
        <v>860</v>
      </c>
      <c r="E10" s="87">
        <v>1720</v>
      </c>
      <c r="F10" s="87"/>
      <c r="G10" s="87">
        <v>3440</v>
      </c>
      <c r="H10" s="87">
        <v>150</v>
      </c>
      <c r="I10" s="89">
        <v>5</v>
      </c>
      <c r="J10" s="89">
        <v>1</v>
      </c>
      <c r="K10" s="87">
        <v>12</v>
      </c>
      <c r="L10" s="87">
        <v>24</v>
      </c>
      <c r="M10" s="87">
        <v>36</v>
      </c>
      <c r="N10" s="87">
        <v>48</v>
      </c>
      <c r="O10" s="87">
        <v>50</v>
      </c>
      <c r="P10" s="87">
        <v>60</v>
      </c>
      <c r="Q10" s="87">
        <v>0.98</v>
      </c>
      <c r="R10" s="87">
        <v>0.98</v>
      </c>
      <c r="S10" s="87">
        <v>0.98</v>
      </c>
      <c r="T10" s="87">
        <v>0.98</v>
      </c>
      <c r="U10" s="54"/>
    </row>
    <row r="11" spans="1:21" x14ac:dyDescent="0.25">
      <c r="A11" s="74" t="str">
        <f t="shared" si="0"/>
        <v>Victron Energy BlueSolar MPPT 150/70 Tr/MC4</v>
      </c>
      <c r="B11" s="75" t="s">
        <v>6</v>
      </c>
      <c r="C11" s="75" t="s">
        <v>295</v>
      </c>
      <c r="D11" s="87">
        <v>1000</v>
      </c>
      <c r="E11" s="87">
        <v>2000</v>
      </c>
      <c r="F11" s="87"/>
      <c r="G11" s="87">
        <v>4000</v>
      </c>
      <c r="H11" s="87">
        <v>150</v>
      </c>
      <c r="I11" s="89">
        <v>5</v>
      </c>
      <c r="J11" s="89">
        <v>1</v>
      </c>
      <c r="K11" s="87">
        <v>12</v>
      </c>
      <c r="L11" s="87">
        <v>24</v>
      </c>
      <c r="M11" s="87">
        <v>36</v>
      </c>
      <c r="N11" s="87">
        <v>48</v>
      </c>
      <c r="O11" s="87">
        <v>50</v>
      </c>
      <c r="P11" s="87">
        <v>70</v>
      </c>
      <c r="Q11" s="87">
        <v>0.98</v>
      </c>
      <c r="R11" s="87">
        <v>0.98</v>
      </c>
      <c r="S11" s="87">
        <v>0.98</v>
      </c>
      <c r="T11" s="87">
        <v>0.98</v>
      </c>
      <c r="U11" s="54"/>
    </row>
    <row r="12" spans="1:21" x14ac:dyDescent="0.25">
      <c r="A12" s="74" t="str">
        <f t="shared" si="0"/>
        <v>Victron Energy SmartSolar MPPT 150/85 Tr/MC4</v>
      </c>
      <c r="B12" s="75" t="s">
        <v>6</v>
      </c>
      <c r="C12" s="75" t="s">
        <v>387</v>
      </c>
      <c r="D12" s="87">
        <v>1200</v>
      </c>
      <c r="E12" s="87">
        <v>2400</v>
      </c>
      <c r="F12" s="87"/>
      <c r="G12" s="87">
        <v>4900</v>
      </c>
      <c r="H12" s="87">
        <v>150</v>
      </c>
      <c r="I12" s="89">
        <v>5</v>
      </c>
      <c r="J12" s="89">
        <v>1</v>
      </c>
      <c r="K12" s="87">
        <v>12</v>
      </c>
      <c r="L12" s="87">
        <v>24</v>
      </c>
      <c r="M12" s="87">
        <v>36</v>
      </c>
      <c r="N12" s="87">
        <v>48</v>
      </c>
      <c r="O12" s="87">
        <v>70</v>
      </c>
      <c r="P12" s="87">
        <v>85</v>
      </c>
      <c r="Q12" s="87">
        <v>0.98</v>
      </c>
      <c r="R12" s="87">
        <v>0.98</v>
      </c>
      <c r="S12" s="87">
        <v>0.98</v>
      </c>
      <c r="T12" s="87">
        <v>0.98</v>
      </c>
      <c r="U12" s="54"/>
    </row>
    <row r="13" spans="1:21" x14ac:dyDescent="0.25">
      <c r="A13" s="74" t="str">
        <f t="shared" si="0"/>
        <v>Victron Energy SmartSolar MPPT 150/100 Tr/MC4</v>
      </c>
      <c r="B13" s="75" t="s">
        <v>6</v>
      </c>
      <c r="C13" s="75" t="s">
        <v>388</v>
      </c>
      <c r="D13" s="87">
        <v>1450</v>
      </c>
      <c r="E13" s="87">
        <v>2900</v>
      </c>
      <c r="F13" s="87"/>
      <c r="G13" s="87">
        <v>5800</v>
      </c>
      <c r="H13" s="87">
        <v>150</v>
      </c>
      <c r="I13" s="89">
        <v>5</v>
      </c>
      <c r="J13" s="89">
        <v>1</v>
      </c>
      <c r="K13" s="87">
        <v>12</v>
      </c>
      <c r="L13" s="87">
        <v>24</v>
      </c>
      <c r="M13" s="87">
        <v>36</v>
      </c>
      <c r="N13" s="87">
        <v>48</v>
      </c>
      <c r="O13" s="87">
        <v>70</v>
      </c>
      <c r="P13" s="87">
        <v>100</v>
      </c>
      <c r="Q13" s="87">
        <v>0.98</v>
      </c>
      <c r="R13" s="87">
        <v>0.98</v>
      </c>
      <c r="S13" s="87">
        <v>0.98</v>
      </c>
      <c r="T13" s="87">
        <v>0.98</v>
      </c>
      <c r="U13" s="54"/>
    </row>
    <row r="14" spans="1:21" x14ac:dyDescent="0.25">
      <c r="A14" s="74" t="str">
        <f t="shared" si="0"/>
        <v>Victron Energy SmartSolar MPPT 250/60 Tr/MC4</v>
      </c>
      <c r="B14" s="75" t="s">
        <v>6</v>
      </c>
      <c r="C14" s="75" t="s">
        <v>386</v>
      </c>
      <c r="D14" s="87">
        <v>860</v>
      </c>
      <c r="E14" s="87">
        <v>1720</v>
      </c>
      <c r="F14" s="87"/>
      <c r="G14" s="87">
        <v>3440</v>
      </c>
      <c r="H14" s="87">
        <v>250</v>
      </c>
      <c r="I14" s="89">
        <v>5</v>
      </c>
      <c r="J14" s="89">
        <v>1</v>
      </c>
      <c r="K14" s="87">
        <v>12</v>
      </c>
      <c r="L14" s="87">
        <v>24</v>
      </c>
      <c r="M14" s="87">
        <v>36</v>
      </c>
      <c r="N14" s="87">
        <v>48</v>
      </c>
      <c r="O14" s="87">
        <v>35</v>
      </c>
      <c r="P14" s="87">
        <v>60</v>
      </c>
      <c r="Q14" s="87">
        <v>0.99</v>
      </c>
      <c r="R14" s="87">
        <v>0.99</v>
      </c>
      <c r="S14" s="87">
        <v>0.99</v>
      </c>
      <c r="T14" s="87">
        <v>0.99</v>
      </c>
      <c r="U14" s="54"/>
    </row>
    <row r="15" spans="1:21" x14ac:dyDescent="0.25">
      <c r="A15" s="74" t="str">
        <f t="shared" si="0"/>
        <v>Victron Energy SmartSolar MPPT 250/70 Tr/MC4</v>
      </c>
      <c r="B15" s="75" t="s">
        <v>6</v>
      </c>
      <c r="C15" s="75" t="s">
        <v>389</v>
      </c>
      <c r="D15" s="87">
        <v>1000</v>
      </c>
      <c r="E15" s="87">
        <v>2000</v>
      </c>
      <c r="F15" s="87"/>
      <c r="G15" s="87">
        <v>4000</v>
      </c>
      <c r="H15" s="87">
        <v>250</v>
      </c>
      <c r="I15" s="89">
        <v>5</v>
      </c>
      <c r="J15" s="89">
        <v>1</v>
      </c>
      <c r="K15" s="87">
        <v>12</v>
      </c>
      <c r="L15" s="87">
        <v>24</v>
      </c>
      <c r="M15" s="87">
        <v>36</v>
      </c>
      <c r="N15" s="87">
        <v>48</v>
      </c>
      <c r="O15" s="87">
        <v>35</v>
      </c>
      <c r="P15" s="87">
        <v>70</v>
      </c>
      <c r="Q15" s="87">
        <v>0.99</v>
      </c>
      <c r="R15" s="87">
        <v>0.99</v>
      </c>
      <c r="S15" s="87">
        <v>0.99</v>
      </c>
      <c r="T15" s="87">
        <v>0.99</v>
      </c>
      <c r="U15" s="54"/>
    </row>
    <row r="16" spans="1:21" x14ac:dyDescent="0.25">
      <c r="A16" s="74" t="str">
        <f t="shared" si="0"/>
        <v>Victron Energy SmartSolar MPPT 250/85 Tr/MC4</v>
      </c>
      <c r="B16" s="75" t="s">
        <v>6</v>
      </c>
      <c r="C16" s="75" t="s">
        <v>320</v>
      </c>
      <c r="D16" s="87">
        <v>1200</v>
      </c>
      <c r="E16" s="87">
        <v>2400</v>
      </c>
      <c r="F16" s="87"/>
      <c r="G16" s="87">
        <v>4900</v>
      </c>
      <c r="H16" s="87">
        <v>250</v>
      </c>
      <c r="I16" s="89">
        <v>5</v>
      </c>
      <c r="J16" s="89">
        <v>1</v>
      </c>
      <c r="K16" s="87">
        <v>12</v>
      </c>
      <c r="L16" s="87">
        <v>24</v>
      </c>
      <c r="M16" s="87">
        <v>36</v>
      </c>
      <c r="N16" s="87">
        <v>48</v>
      </c>
      <c r="O16" s="87">
        <v>70</v>
      </c>
      <c r="P16" s="87">
        <v>85</v>
      </c>
      <c r="Q16" s="87">
        <v>0.99</v>
      </c>
      <c r="R16" s="87">
        <v>0.99</v>
      </c>
      <c r="S16" s="87">
        <v>0.99</v>
      </c>
      <c r="T16" s="87">
        <v>0.99</v>
      </c>
      <c r="U16" s="54"/>
    </row>
    <row r="17" spans="1:21" x14ac:dyDescent="0.25">
      <c r="A17" s="74" t="str">
        <f t="shared" si="0"/>
        <v>Victron Energy SmartSolar MPPT 250/100 Tr/MC4</v>
      </c>
      <c r="B17" s="75" t="s">
        <v>6</v>
      </c>
      <c r="C17" s="75" t="s">
        <v>321</v>
      </c>
      <c r="D17" s="87">
        <v>1450</v>
      </c>
      <c r="E17" s="87">
        <v>2900</v>
      </c>
      <c r="F17" s="87"/>
      <c r="G17" s="87">
        <v>5800</v>
      </c>
      <c r="H17" s="87">
        <v>250</v>
      </c>
      <c r="I17" s="89">
        <v>5</v>
      </c>
      <c r="J17" s="89">
        <v>1</v>
      </c>
      <c r="K17" s="87">
        <v>12</v>
      </c>
      <c r="L17" s="87">
        <v>24</v>
      </c>
      <c r="M17" s="87">
        <v>36</v>
      </c>
      <c r="N17" s="87">
        <v>48</v>
      </c>
      <c r="O17" s="87">
        <v>70</v>
      </c>
      <c r="P17" s="87">
        <v>100</v>
      </c>
      <c r="Q17" s="87">
        <v>0.99</v>
      </c>
      <c r="R17" s="87">
        <v>0.99</v>
      </c>
      <c r="S17" s="87">
        <v>0.99</v>
      </c>
      <c r="T17" s="87">
        <v>0.99</v>
      </c>
      <c r="U17" s="54"/>
    </row>
    <row r="18" spans="1:21" x14ac:dyDescent="0.25">
      <c r="A18" s="74" t="str">
        <f t="shared" si="0"/>
        <v>Victron Energy BlueSolar MPPT 150/70 VE.Can</v>
      </c>
      <c r="B18" s="75" t="s">
        <v>6</v>
      </c>
      <c r="C18" s="75" t="s">
        <v>291</v>
      </c>
      <c r="D18" s="75">
        <v>1000</v>
      </c>
      <c r="E18" s="75">
        <v>2000</v>
      </c>
      <c r="F18" s="75">
        <v>3000</v>
      </c>
      <c r="G18" s="75">
        <v>4000</v>
      </c>
      <c r="H18" s="75">
        <v>150</v>
      </c>
      <c r="I18" s="77">
        <v>7</v>
      </c>
      <c r="J18" s="77">
        <v>2</v>
      </c>
      <c r="K18" s="75">
        <v>12</v>
      </c>
      <c r="L18" s="75">
        <v>24</v>
      </c>
      <c r="M18" s="75">
        <v>36</v>
      </c>
      <c r="N18" s="75">
        <v>48</v>
      </c>
      <c r="O18" s="75">
        <v>50</v>
      </c>
      <c r="P18" s="75">
        <v>70</v>
      </c>
      <c r="Q18" s="75">
        <v>0.95</v>
      </c>
      <c r="R18" s="75">
        <v>0.96499999999999997</v>
      </c>
      <c r="S18" s="75">
        <v>0.97</v>
      </c>
      <c r="T18" s="75">
        <v>0.97499999999999998</v>
      </c>
      <c r="U18" s="54"/>
    </row>
    <row r="19" spans="1:21" x14ac:dyDescent="0.25">
      <c r="A19" s="74" t="str">
        <f t="shared" si="0"/>
        <v>Victron Energy BlueSolar MPPT 150/85 VE.Can</v>
      </c>
      <c r="B19" s="75" t="s">
        <v>6</v>
      </c>
      <c r="C19" s="75" t="s">
        <v>292</v>
      </c>
      <c r="D19" s="87">
        <v>1200</v>
      </c>
      <c r="E19" s="87">
        <v>2400</v>
      </c>
      <c r="F19" s="87">
        <v>3600</v>
      </c>
      <c r="G19" s="87">
        <v>4850</v>
      </c>
      <c r="H19" s="87">
        <v>150</v>
      </c>
      <c r="I19" s="89">
        <v>7</v>
      </c>
      <c r="J19" s="89">
        <v>2</v>
      </c>
      <c r="K19" s="87">
        <v>12</v>
      </c>
      <c r="L19" s="87">
        <v>24</v>
      </c>
      <c r="M19" s="87">
        <v>36</v>
      </c>
      <c r="N19" s="87">
        <v>48</v>
      </c>
      <c r="O19" s="87">
        <v>70</v>
      </c>
      <c r="P19" s="87">
        <v>85</v>
      </c>
      <c r="Q19" s="87">
        <v>0.95</v>
      </c>
      <c r="R19" s="87">
        <v>0.96499999999999997</v>
      </c>
      <c r="S19" s="87">
        <v>0.97</v>
      </c>
      <c r="T19" s="87">
        <v>0.97499999999999998</v>
      </c>
    </row>
  </sheetData>
  <sheetProtection sheet="1" objects="1" scenarios="1" selectLockedCells="1" selectUnlockedCells="1"/>
  <mergeCells count="1">
    <mergeCell ref="K1:N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0"/>
  <sheetViews>
    <sheetView topLeftCell="A16" workbookViewId="0">
      <selection activeCell="D36" sqref="D36"/>
    </sheetView>
  </sheetViews>
  <sheetFormatPr baseColWidth="10" defaultColWidth="9.140625" defaultRowHeight="15" x14ac:dyDescent="0.25"/>
  <cols>
    <col min="1" max="2" width="20" customWidth="1"/>
    <col min="3" max="3" width="51.85546875" customWidth="1"/>
    <col min="4" max="4" width="13" customWidth="1"/>
    <col min="5" max="10" width="20" customWidth="1"/>
  </cols>
  <sheetData>
    <row r="1" spans="1:3" s="2" customFormat="1" ht="2.25" customHeight="1" x14ac:dyDescent="0.25"/>
    <row r="2" spans="1:3" s="1" customFormat="1" x14ac:dyDescent="0.25">
      <c r="A2" s="1" t="s">
        <v>24</v>
      </c>
    </row>
    <row r="3" spans="1:3" s="3" customFormat="1" ht="7.5" customHeight="1" x14ac:dyDescent="0.25"/>
    <row r="4" spans="1:3" s="28" customFormat="1" x14ac:dyDescent="0.25">
      <c r="A4" s="28" t="s">
        <v>40</v>
      </c>
      <c r="B4" s="29">
        <f>Form!E11</f>
        <v>0</v>
      </c>
      <c r="C4" s="28" t="s">
        <v>15</v>
      </c>
    </row>
    <row r="5" spans="1:3" s="28" customFormat="1" x14ac:dyDescent="0.25">
      <c r="B5" s="29">
        <f>Form!G11</f>
        <v>70</v>
      </c>
      <c r="C5" s="28" t="s">
        <v>16</v>
      </c>
    </row>
    <row r="6" spans="1:3" s="3" customFormat="1" ht="7.5" customHeight="1" x14ac:dyDescent="0.25">
      <c r="B6" s="67"/>
    </row>
    <row r="7" spans="1:3" s="28" customFormat="1" x14ac:dyDescent="0.25">
      <c r="A7" s="28" t="s">
        <v>78</v>
      </c>
      <c r="B7" s="30">
        <f>INDEX(Modules!B3:J29,Form!D4,6)*Form!D6</f>
        <v>113.39999999999999</v>
      </c>
      <c r="C7" s="28" t="s">
        <v>58</v>
      </c>
    </row>
    <row r="8" spans="1:3" s="28" customFormat="1" x14ac:dyDescent="0.25">
      <c r="B8" s="30">
        <f>INDEX(Modules!B3:J29,Form!D4,4)*Form!D6</f>
        <v>91.65</v>
      </c>
      <c r="C8" s="28" t="s">
        <v>59</v>
      </c>
    </row>
    <row r="9" spans="1:3" s="28" customFormat="1" x14ac:dyDescent="0.25">
      <c r="B9" s="31">
        <f>INDEX(Modules!B3:J29,Form!D4,7)*Form!G6</f>
        <v>35.96</v>
      </c>
      <c r="C9" s="28" t="s">
        <v>34</v>
      </c>
    </row>
    <row r="10" spans="1:3" s="28" customFormat="1" x14ac:dyDescent="0.25">
      <c r="B10" s="31">
        <f>INDEX(Modules!B3:J29,Form!D4,5)*Form!G6</f>
        <v>34.119999999999997</v>
      </c>
      <c r="C10" s="28" t="s">
        <v>35</v>
      </c>
    </row>
    <row r="11" spans="1:3" s="28" customFormat="1" x14ac:dyDescent="0.25">
      <c r="B11" s="46">
        <f>$B$10*$B$8/D20</f>
        <v>65.147874999999999</v>
      </c>
      <c r="C11" s="47" t="s">
        <v>33</v>
      </c>
    </row>
    <row r="12" spans="1:3" s="28" customFormat="1" x14ac:dyDescent="0.25">
      <c r="B12" s="32">
        <f>INDEX(Modules!B3:J29,Form!D4,8)</f>
        <v>-0.33</v>
      </c>
      <c r="C12" s="28" t="s">
        <v>60</v>
      </c>
    </row>
    <row r="13" spans="1:3" s="28" customFormat="1" x14ac:dyDescent="0.25">
      <c r="B13" s="33">
        <f>(B7/100)*B12</f>
        <v>-0.37422</v>
      </c>
      <c r="C13" s="28" t="s">
        <v>61</v>
      </c>
    </row>
    <row r="14" spans="1:3" s="28" customFormat="1" x14ac:dyDescent="0.25">
      <c r="B14" s="32">
        <f>INDEX(Modules!B3:J29,Form!D4,9)</f>
        <v>0.05</v>
      </c>
      <c r="C14" s="28" t="s">
        <v>21</v>
      </c>
    </row>
    <row r="15" spans="1:3" s="28" customFormat="1" x14ac:dyDescent="0.25">
      <c r="B15" s="34">
        <f>B9*(B14/100)</f>
        <v>1.7979999999999999E-2</v>
      </c>
      <c r="C15" s="28" t="s">
        <v>22</v>
      </c>
    </row>
    <row r="16" spans="1:3" s="28" customFormat="1" x14ac:dyDescent="0.25">
      <c r="B16" s="144">
        <f>Form!D8</f>
        <v>3120</v>
      </c>
      <c r="C16" s="28" t="s">
        <v>312</v>
      </c>
    </row>
    <row r="17" spans="1:10" s="3" customFormat="1" ht="7.5" customHeight="1" x14ac:dyDescent="0.25"/>
    <row r="18" spans="1:10" s="28" customFormat="1" x14ac:dyDescent="0.25">
      <c r="A18" s="28" t="s">
        <v>45</v>
      </c>
      <c r="B18" s="30">
        <f>INDEX(Regulator!$B$2:$H$19,Form!$D$13,7)</f>
        <v>150</v>
      </c>
      <c r="C18" s="28" t="s">
        <v>62</v>
      </c>
      <c r="D18" s="35">
        <f>INDEX(Regulator!B2:P19,Form!$D$13,15)</f>
        <v>70</v>
      </c>
      <c r="E18" s="28" t="s">
        <v>20</v>
      </c>
    </row>
    <row r="19" spans="1:10" s="28" customFormat="1" x14ac:dyDescent="0.25">
      <c r="B19" s="30">
        <f>INDEX(Regulator!B2:J19,Form!D13,8)+D20</f>
        <v>53</v>
      </c>
      <c r="C19" s="28" t="s">
        <v>63</v>
      </c>
      <c r="D19" s="35">
        <f>INDEX(Regulator!B2:P19,Form!$D$13,14)</f>
        <v>50</v>
      </c>
      <c r="E19" s="28" t="s">
        <v>318</v>
      </c>
      <c r="G19" s="37"/>
    </row>
    <row r="20" spans="1:10" s="28" customFormat="1" x14ac:dyDescent="0.25">
      <c r="B20" s="30">
        <f>INDEX(Regulator!$B$2:$J$28,Form!$E$15,9)+D20</f>
        <v>49</v>
      </c>
      <c r="C20" s="28" t="s">
        <v>64</v>
      </c>
      <c r="D20" s="36">
        <f>IF(INDEX(Form!$J$12:$J$15,Form!$E$15,1)="N.A.",0,INDEX(Form!$J$12:$J$15,Form!$E$15,1))</f>
        <v>48</v>
      </c>
      <c r="E20" s="28" t="s">
        <v>17</v>
      </c>
      <c r="F20" s="37">
        <f>IF(D20=12,16,IF(D20=24,17,IF(D20=36,18,19)))</f>
        <v>19</v>
      </c>
    </row>
    <row r="21" spans="1:10" s="28" customFormat="1" x14ac:dyDescent="0.25">
      <c r="B21" s="144">
        <f>IF(D20=48,INDEX(Regulator!D2:G19,Form!D13,4),IF(D20=36,INDEX(Regulator!D2:G19,Form!D13,3),IF(D20=24,INDEX(Regulator!D2:G19,Form!D13,2),IF(D20=12,INDEX(Regulator!D2:G19,Form!D13,1),0))))</f>
        <v>4000</v>
      </c>
      <c r="C21" s="28" t="s">
        <v>315</v>
      </c>
      <c r="D21" s="28">
        <f>INDEX(Regulator!B2:T19,Form!$D$13,F20)</f>
        <v>0.98</v>
      </c>
      <c r="E21" s="28" t="s">
        <v>30</v>
      </c>
    </row>
    <row r="22" spans="1:10" s="91" customFormat="1" ht="7.5" customHeight="1" x14ac:dyDescent="0.25">
      <c r="B22" s="92"/>
    </row>
    <row r="23" spans="1:10" s="28" customFormat="1" x14ac:dyDescent="0.25">
      <c r="A23" s="28" t="s">
        <v>198</v>
      </c>
      <c r="B23" s="95">
        <v>1.78E-2</v>
      </c>
      <c r="C23" s="28" t="s">
        <v>200</v>
      </c>
    </row>
    <row r="24" spans="1:10" s="28" customFormat="1" x14ac:dyDescent="0.25">
      <c r="B24" s="96">
        <f>((Form!E17+Form!E17)*B23)/Form!G17</f>
        <v>5.9333333333333328E-2</v>
      </c>
      <c r="C24" s="28" t="s">
        <v>203</v>
      </c>
    </row>
    <row r="25" spans="1:10" s="3" customFormat="1" ht="7.5" customHeight="1" x14ac:dyDescent="0.25">
      <c r="A25" s="91"/>
      <c r="B25" s="4"/>
    </row>
    <row r="26" spans="1:10" s="2" customFormat="1" ht="2.25" customHeight="1" x14ac:dyDescent="0.25"/>
    <row r="27" spans="1:10" s="1" customFormat="1" ht="15" customHeight="1" x14ac:dyDescent="0.25">
      <c r="A27" s="1" t="s">
        <v>23</v>
      </c>
    </row>
    <row r="28" spans="1:10" s="3" customFormat="1" ht="7.5" customHeight="1" x14ac:dyDescent="0.25"/>
    <row r="29" spans="1:10" s="39" customFormat="1" x14ac:dyDescent="0.25">
      <c r="A29" s="39" t="s">
        <v>14</v>
      </c>
      <c r="B29" s="39" t="s">
        <v>65</v>
      </c>
      <c r="C29" s="39" t="s">
        <v>70</v>
      </c>
      <c r="D29" s="39" t="s">
        <v>71</v>
      </c>
      <c r="E29" s="39" t="s">
        <v>72</v>
      </c>
      <c r="F29" s="97" t="s">
        <v>73</v>
      </c>
      <c r="G29" s="39" t="s">
        <v>201</v>
      </c>
      <c r="H29" s="39" t="s">
        <v>74</v>
      </c>
      <c r="I29" s="97" t="s">
        <v>75</v>
      </c>
      <c r="J29" s="39" t="s">
        <v>202</v>
      </c>
    </row>
    <row r="30" spans="1:10" s="39" customFormat="1" x14ac:dyDescent="0.25">
      <c r="A30" s="40">
        <f>B4</f>
        <v>0</v>
      </c>
      <c r="B30" s="41">
        <f>$B$18</f>
        <v>150</v>
      </c>
      <c r="C30" s="41">
        <f>$B$19</f>
        <v>53</v>
      </c>
      <c r="D30" s="41">
        <f>$B$20</f>
        <v>49</v>
      </c>
      <c r="E30" s="41">
        <f>$B$7+($B$13*-(25-A30))</f>
        <v>122.75549999999998</v>
      </c>
      <c r="F30" s="98">
        <f>$B$8+($B$13*-(25-A30))</f>
        <v>101.00550000000001</v>
      </c>
      <c r="G30" s="42">
        <f>($B$8+($B$13*-(25-A30))-($B$24*C40))</f>
        <v>99.007717000000014</v>
      </c>
      <c r="I30" s="97"/>
    </row>
    <row r="31" spans="1:10" s="39" customFormat="1" x14ac:dyDescent="0.25">
      <c r="A31" s="39">
        <f>A30+5</f>
        <v>5</v>
      </c>
      <c r="B31" s="41">
        <f t="shared" ref="B31:B37" si="0">$B$18</f>
        <v>150</v>
      </c>
      <c r="C31" s="41">
        <f t="shared" ref="C31:C37" si="1">$B$19</f>
        <v>53</v>
      </c>
      <c r="D31" s="41">
        <f t="shared" ref="D31:D37" si="2">$B$20</f>
        <v>49</v>
      </c>
      <c r="E31" s="41">
        <f>$B$7+($B$13*-(25-A31))</f>
        <v>120.88439999999999</v>
      </c>
      <c r="F31" s="98">
        <f>$B$8+($B$13*-(25-A31))</f>
        <v>99.134399999999999</v>
      </c>
      <c r="G31" s="42">
        <f>($B$8+($B$13*-(25-A31))-($B$24*C41))</f>
        <v>97.131282933333338</v>
      </c>
      <c r="I31" s="97"/>
    </row>
    <row r="32" spans="1:10" s="39" customFormat="1" x14ac:dyDescent="0.25">
      <c r="A32" s="39">
        <f>A31+5</f>
        <v>10</v>
      </c>
      <c r="B32" s="41">
        <f t="shared" si="0"/>
        <v>150</v>
      </c>
      <c r="C32" s="41">
        <f t="shared" si="1"/>
        <v>53</v>
      </c>
      <c r="D32" s="41">
        <f t="shared" si="2"/>
        <v>49</v>
      </c>
      <c r="E32" s="41">
        <f>$B$7+($B$13*-(25-A32))</f>
        <v>119.01329999999999</v>
      </c>
      <c r="F32" s="98">
        <f>$B$8+($B$13*-(25-A32))</f>
        <v>97.263300000000001</v>
      </c>
      <c r="G32" s="42">
        <f>($B$8+($B$13*-(25-A32))-($B$24*C42))</f>
        <v>95.254848866666663</v>
      </c>
      <c r="I32" s="97"/>
    </row>
    <row r="33" spans="1:12" s="39" customFormat="1" x14ac:dyDescent="0.25">
      <c r="A33" s="39">
        <f>A32+5</f>
        <v>15</v>
      </c>
      <c r="B33" s="41">
        <f t="shared" si="0"/>
        <v>150</v>
      </c>
      <c r="C33" s="41">
        <f t="shared" si="1"/>
        <v>53</v>
      </c>
      <c r="D33" s="41">
        <f t="shared" si="2"/>
        <v>49</v>
      </c>
      <c r="E33" s="41">
        <f>$B$7+($B$13*-(25-A33))</f>
        <v>117.14219999999999</v>
      </c>
      <c r="F33" s="98">
        <f>$B$8+($B$13*-(25-A33))</f>
        <v>95.392200000000003</v>
      </c>
      <c r="G33" s="42">
        <f>($B$8+($B$13*-(25-A33))-($B$24*C43))</f>
        <v>93.378414800000002</v>
      </c>
      <c r="I33" s="97"/>
    </row>
    <row r="34" spans="1:12" s="39" customFormat="1" x14ac:dyDescent="0.25">
      <c r="A34" s="39">
        <f>A35-5</f>
        <v>55</v>
      </c>
      <c r="B34" s="41">
        <f t="shared" si="0"/>
        <v>150</v>
      </c>
      <c r="C34" s="41">
        <f t="shared" si="1"/>
        <v>53</v>
      </c>
      <c r="D34" s="41">
        <f t="shared" si="2"/>
        <v>49</v>
      </c>
      <c r="E34" s="42"/>
      <c r="H34" s="41">
        <f>$B$7+($B$13*-(25-A34))</f>
        <v>102.17339999999999</v>
      </c>
      <c r="I34" s="98">
        <f>$B$8+($B$13*-(25-A34))</f>
        <v>80.423400000000001</v>
      </c>
      <c r="J34" s="41">
        <f>$B$8+($B$13*-(25-A34))-($B$24*C44)</f>
        <v>78.366942266666669</v>
      </c>
    </row>
    <row r="35" spans="1:12" s="39" customFormat="1" x14ac:dyDescent="0.25">
      <c r="A35" s="39">
        <f>A36-5</f>
        <v>60</v>
      </c>
      <c r="B35" s="41">
        <f t="shared" si="0"/>
        <v>150</v>
      </c>
      <c r="C35" s="41">
        <f t="shared" si="1"/>
        <v>53</v>
      </c>
      <c r="D35" s="41">
        <f t="shared" si="2"/>
        <v>49</v>
      </c>
      <c r="E35" s="42"/>
      <c r="H35" s="41">
        <f>$B$7+($B$13*-(25-A35))</f>
        <v>100.30229999999999</v>
      </c>
      <c r="I35" s="98">
        <f t="shared" ref="I35:I37" si="3">$B$8+($B$13*-(25-A35))</f>
        <v>78.552300000000002</v>
      </c>
      <c r="J35" s="41">
        <f>$B$8+($B$13*-(25-A35))-($B$24*C45)</f>
        <v>76.490508200000008</v>
      </c>
    </row>
    <row r="36" spans="1:12" s="39" customFormat="1" x14ac:dyDescent="0.25">
      <c r="A36" s="39">
        <f>A37-5</f>
        <v>65</v>
      </c>
      <c r="B36" s="41">
        <f t="shared" si="0"/>
        <v>150</v>
      </c>
      <c r="C36" s="41">
        <f t="shared" si="1"/>
        <v>53</v>
      </c>
      <c r="D36" s="41">
        <f t="shared" si="2"/>
        <v>49</v>
      </c>
      <c r="E36" s="42"/>
      <c r="H36" s="41">
        <f>$B$7+($B$13*-(25-A36))</f>
        <v>98.43119999999999</v>
      </c>
      <c r="I36" s="98">
        <f t="shared" si="3"/>
        <v>76.681200000000004</v>
      </c>
      <c r="J36" s="41">
        <f>$B$8+($B$13*-(25-A36))-($B$24*C46)</f>
        <v>74.614074133333332</v>
      </c>
    </row>
    <row r="37" spans="1:12" s="39" customFormat="1" x14ac:dyDescent="0.25">
      <c r="A37" s="40">
        <f>B5</f>
        <v>70</v>
      </c>
      <c r="B37" s="41">
        <f t="shared" si="0"/>
        <v>150</v>
      </c>
      <c r="C37" s="41">
        <f t="shared" si="1"/>
        <v>53</v>
      </c>
      <c r="D37" s="41">
        <f t="shared" si="2"/>
        <v>49</v>
      </c>
      <c r="E37" s="42"/>
      <c r="H37" s="41">
        <f>$B$7+($B$13*-(25-A37))</f>
        <v>96.560099999999991</v>
      </c>
      <c r="I37" s="98">
        <f t="shared" si="3"/>
        <v>74.810100000000006</v>
      </c>
      <c r="J37" s="41">
        <f>$B$8+($B$13*-(25-A37))-($B$24*C47)</f>
        <v>72.737640066666671</v>
      </c>
      <c r="K37" s="40"/>
      <c r="L37" s="40"/>
    </row>
    <row r="38" spans="1:12" s="38" customFormat="1" ht="7.5" customHeight="1" x14ac:dyDescent="0.25"/>
    <row r="39" spans="1:12" s="39" customFormat="1" x14ac:dyDescent="0.25">
      <c r="A39" s="39" t="s">
        <v>14</v>
      </c>
      <c r="B39" s="39" t="s">
        <v>77</v>
      </c>
      <c r="C39" s="39" t="s">
        <v>76</v>
      </c>
      <c r="D39" s="39" t="s">
        <v>19</v>
      </c>
      <c r="E39" s="39" t="s">
        <v>82</v>
      </c>
      <c r="F39" s="39" t="s">
        <v>83</v>
      </c>
    </row>
    <row r="40" spans="1:12" s="39" customFormat="1" x14ac:dyDescent="0.25">
      <c r="A40" s="40">
        <f>B4</f>
        <v>0</v>
      </c>
      <c r="B40" s="43">
        <f>$D$18</f>
        <v>70</v>
      </c>
      <c r="C40" s="44">
        <f>$B$10+($B$15*-(25-A40))</f>
        <v>33.670499999999997</v>
      </c>
      <c r="D40" s="45">
        <f t="shared" ref="D40:D47" si="4">$D$20</f>
        <v>48</v>
      </c>
      <c r="E40" s="44">
        <f>IF((((C40*F30)/D40)*$D$21)&gt;$D$18,$D$18,(((C40*F30)/D40)*$D$21))</f>
        <v>69.435157791562503</v>
      </c>
    </row>
    <row r="41" spans="1:12" s="39" customFormat="1" x14ac:dyDescent="0.25">
      <c r="A41" s="40">
        <f>A40+5</f>
        <v>5</v>
      </c>
      <c r="B41" s="43">
        <f t="shared" ref="B41:B47" si="5">$D$18</f>
        <v>70</v>
      </c>
      <c r="C41" s="44">
        <f t="shared" ref="C41:C47" si="6">$B$10+($B$15*-(25-A41))</f>
        <v>33.760399999999997</v>
      </c>
      <c r="D41" s="45">
        <f t="shared" si="4"/>
        <v>48</v>
      </c>
      <c r="E41" s="44">
        <f>IF((((C41*F31)/D41)*$D$21)&gt;$D$18,$D$18,(((C41*F31)/D41)*$D$21))</f>
        <v>68.330847037599995</v>
      </c>
    </row>
    <row r="42" spans="1:12" s="39" customFormat="1" x14ac:dyDescent="0.25">
      <c r="A42" s="39">
        <f>A41+5</f>
        <v>10</v>
      </c>
      <c r="B42" s="43">
        <f t="shared" si="5"/>
        <v>70</v>
      </c>
      <c r="C42" s="44">
        <f t="shared" si="6"/>
        <v>33.850299999999997</v>
      </c>
      <c r="D42" s="45">
        <f t="shared" si="4"/>
        <v>48</v>
      </c>
      <c r="E42" s="44">
        <f>IF((((C42*F32)/D42)*$D$21)&gt;$D$18,$D$18,(((C42*F32)/D42)*$D$21))</f>
        <v>67.219667631462485</v>
      </c>
    </row>
    <row r="43" spans="1:12" s="39" customFormat="1" x14ac:dyDescent="0.25">
      <c r="A43" s="39">
        <f>A42+5</f>
        <v>15</v>
      </c>
      <c r="B43" s="43">
        <f t="shared" si="5"/>
        <v>70</v>
      </c>
      <c r="C43" s="44">
        <f>$B$10+($B$15*-(25-A43))</f>
        <v>33.940199999999997</v>
      </c>
      <c r="D43" s="45">
        <f t="shared" si="4"/>
        <v>48</v>
      </c>
      <c r="E43" s="44">
        <f>IF((((C43*F33)/D43)*$D$21)&gt;$D$18,$D$18,(((C43*F33)/D43)*$D$21))</f>
        <v>66.101619573150003</v>
      </c>
    </row>
    <row r="44" spans="1:12" s="39" customFormat="1" x14ac:dyDescent="0.25">
      <c r="A44" s="39">
        <f>A45-5</f>
        <v>55</v>
      </c>
      <c r="B44" s="43">
        <f t="shared" si="5"/>
        <v>70</v>
      </c>
      <c r="C44" s="44">
        <f t="shared" si="6"/>
        <v>34.659399999999998</v>
      </c>
      <c r="D44" s="45">
        <f t="shared" si="4"/>
        <v>48</v>
      </c>
      <c r="F44" s="44">
        <f>IF(((C44*I34)/D44*$D$21)&gt;$D$18,$D$18,((C44*I34)/D44*$D$21))</f>
        <v>56.909963628349999</v>
      </c>
      <c r="G44" s="44"/>
    </row>
    <row r="45" spans="1:12" s="39" customFormat="1" x14ac:dyDescent="0.25">
      <c r="A45" s="39">
        <f>A46-5</f>
        <v>60</v>
      </c>
      <c r="B45" s="43">
        <f t="shared" si="5"/>
        <v>70</v>
      </c>
      <c r="C45" s="44">
        <f t="shared" si="6"/>
        <v>34.749299999999998</v>
      </c>
      <c r="D45" s="45">
        <f t="shared" si="4"/>
        <v>48</v>
      </c>
      <c r="F45" s="44">
        <f>IF(((C45*I35)/D45*$D$21)&gt;$D$18,$D$18,((C45*I35)/D45*$D$21))</f>
        <v>55.730097700462494</v>
      </c>
      <c r="G45" s="44"/>
    </row>
    <row r="46" spans="1:12" s="39" customFormat="1" x14ac:dyDescent="0.25">
      <c r="A46" s="39">
        <f>A47-5</f>
        <v>65</v>
      </c>
      <c r="B46" s="43">
        <f t="shared" si="5"/>
        <v>70</v>
      </c>
      <c r="C46" s="44">
        <f t="shared" si="6"/>
        <v>34.839199999999998</v>
      </c>
      <c r="D46" s="45">
        <f t="shared" si="4"/>
        <v>48</v>
      </c>
      <c r="F46" s="44">
        <f>IF(((C46*I36)/D46*$D$21)&gt;$D$18,$D$18,((C46*I36)/D46*$D$21))</f>
        <v>54.543363120399995</v>
      </c>
      <c r="G46" s="44"/>
    </row>
    <row r="47" spans="1:12" s="39" customFormat="1" x14ac:dyDescent="0.25">
      <c r="A47" s="40">
        <f>B5</f>
        <v>70</v>
      </c>
      <c r="B47" s="43">
        <f t="shared" si="5"/>
        <v>70</v>
      </c>
      <c r="C47" s="44">
        <f t="shared" si="6"/>
        <v>34.929099999999998</v>
      </c>
      <c r="D47" s="45">
        <f t="shared" si="4"/>
        <v>48</v>
      </c>
      <c r="F47" s="44">
        <f>IF(((C47*I37)/D47*$D$21)&gt;$D$18,$D$18,((C47*I37)/D47*$D$21))</f>
        <v>53.349759888162502</v>
      </c>
      <c r="G47" s="44"/>
    </row>
    <row r="48" spans="1:12" s="3" customFormat="1" ht="7.5" customHeight="1" x14ac:dyDescent="0.25"/>
    <row r="49" spans="1:4" x14ac:dyDescent="0.25">
      <c r="A49" s="145" t="s">
        <v>313</v>
      </c>
      <c r="B49" s="146">
        <f>B16/B21</f>
        <v>0.78</v>
      </c>
      <c r="C49" t="s">
        <v>314</v>
      </c>
    </row>
    <row r="50" spans="1:4" x14ac:dyDescent="0.25">
      <c r="A50" s="145" t="s">
        <v>392</v>
      </c>
      <c r="B50" s="145"/>
      <c r="C50" s="145"/>
      <c r="D50" s="145" t="b">
        <f>IF(B10&gt;D19, TRUE, FALSE)</f>
        <v>0</v>
      </c>
    </row>
  </sheetData>
  <sheetProtection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21"/>
  <sheetViews>
    <sheetView workbookViewId="0">
      <selection activeCell="B3" sqref="B3"/>
    </sheetView>
  </sheetViews>
  <sheetFormatPr baseColWidth="10" defaultColWidth="9.140625" defaultRowHeight="15" x14ac:dyDescent="0.25"/>
  <cols>
    <col min="1" max="1" width="9.140625" style="61"/>
    <col min="2" max="16384" width="9.140625" style="52"/>
  </cols>
  <sheetData>
    <row r="1" spans="1:2" s="1" customFormat="1" x14ac:dyDescent="0.25">
      <c r="A1" s="69" t="s">
        <v>36</v>
      </c>
    </row>
    <row r="2" spans="1:2" ht="6" customHeight="1" x14ac:dyDescent="0.25"/>
    <row r="3" spans="1:2" s="3" customFormat="1" ht="15" customHeight="1" x14ac:dyDescent="0.25">
      <c r="A3" s="149">
        <v>2.7</v>
      </c>
      <c r="B3" s="68" t="s">
        <v>393</v>
      </c>
    </row>
    <row r="4" spans="1:2" s="91" customFormat="1" ht="15" customHeight="1" x14ac:dyDescent="0.25">
      <c r="A4" s="139">
        <v>2.6</v>
      </c>
      <c r="B4" s="93" t="s">
        <v>381</v>
      </c>
    </row>
    <row r="5" spans="1:2" s="91" customFormat="1" ht="15" customHeight="1" x14ac:dyDescent="0.25">
      <c r="A5" s="139">
        <v>2.5</v>
      </c>
      <c r="B5" s="93" t="s">
        <v>365</v>
      </c>
    </row>
    <row r="6" spans="1:2" s="91" customFormat="1" ht="15" customHeight="1" x14ac:dyDescent="0.25">
      <c r="A6" s="139">
        <v>2.4</v>
      </c>
      <c r="B6" s="93" t="s">
        <v>339</v>
      </c>
    </row>
    <row r="7" spans="1:2" s="91" customFormat="1" ht="15" customHeight="1" x14ac:dyDescent="0.25">
      <c r="A7" s="139">
        <v>2.2999999999999998</v>
      </c>
      <c r="B7" s="93" t="s">
        <v>338</v>
      </c>
    </row>
    <row r="8" spans="1:2" s="91" customFormat="1" ht="15" customHeight="1" x14ac:dyDescent="0.25">
      <c r="A8" s="139">
        <v>2.2000000000000002</v>
      </c>
      <c r="B8" s="93" t="s">
        <v>302</v>
      </c>
    </row>
    <row r="9" spans="1:2" s="91" customFormat="1" ht="15" customHeight="1" x14ac:dyDescent="0.25">
      <c r="A9" s="94" t="s">
        <v>289</v>
      </c>
      <c r="B9" s="93" t="s">
        <v>296</v>
      </c>
    </row>
    <row r="10" spans="1:2" s="91" customFormat="1" ht="15" customHeight="1" x14ac:dyDescent="0.25">
      <c r="A10" s="94" t="s">
        <v>288</v>
      </c>
      <c r="B10" s="93" t="s">
        <v>287</v>
      </c>
    </row>
    <row r="11" spans="1:2" s="91" customFormat="1" ht="15" customHeight="1" x14ac:dyDescent="0.25">
      <c r="A11" s="94" t="s">
        <v>257</v>
      </c>
      <c r="B11" s="93" t="s">
        <v>269</v>
      </c>
    </row>
    <row r="12" spans="1:2" s="91" customFormat="1" ht="15" customHeight="1" x14ac:dyDescent="0.25">
      <c r="A12" s="94" t="s">
        <v>254</v>
      </c>
      <c r="B12" s="93" t="s">
        <v>255</v>
      </c>
    </row>
    <row r="13" spans="1:2" s="91" customFormat="1" ht="15" customHeight="1" x14ac:dyDescent="0.25">
      <c r="A13" s="70" t="s">
        <v>199</v>
      </c>
      <c r="B13" s="93" t="s">
        <v>231</v>
      </c>
    </row>
    <row r="14" spans="1:2" s="91" customFormat="1" ht="15" customHeight="1" x14ac:dyDescent="0.25">
      <c r="A14" s="94" t="s">
        <v>194</v>
      </c>
      <c r="B14" s="93" t="s">
        <v>197</v>
      </c>
    </row>
    <row r="15" spans="1:2" s="3" customFormat="1" x14ac:dyDescent="0.25">
      <c r="A15" s="94" t="s">
        <v>92</v>
      </c>
      <c r="B15" s="93" t="s">
        <v>196</v>
      </c>
    </row>
    <row r="16" spans="1:2" s="3" customFormat="1" x14ac:dyDescent="0.25">
      <c r="A16" s="70" t="s">
        <v>50</v>
      </c>
      <c r="B16" s="68" t="s">
        <v>195</v>
      </c>
    </row>
    <row r="17" spans="1:2" s="3" customFormat="1" x14ac:dyDescent="0.25">
      <c r="A17" s="70" t="s">
        <v>51</v>
      </c>
      <c r="B17" s="68" t="s">
        <v>48</v>
      </c>
    </row>
    <row r="18" spans="1:2" s="3" customFormat="1" x14ac:dyDescent="0.25">
      <c r="A18" s="70" t="s">
        <v>52</v>
      </c>
      <c r="B18" s="68" t="s">
        <v>47</v>
      </c>
    </row>
    <row r="19" spans="1:2" s="3" customFormat="1" x14ac:dyDescent="0.25">
      <c r="A19" s="70" t="s">
        <v>53</v>
      </c>
      <c r="B19" s="68" t="s">
        <v>290</v>
      </c>
    </row>
    <row r="20" spans="1:2" s="3" customFormat="1" x14ac:dyDescent="0.25">
      <c r="A20" s="71" t="s">
        <v>54</v>
      </c>
      <c r="B20" s="68" t="s">
        <v>37</v>
      </c>
    </row>
    <row r="21" spans="1:2" s="3" customFormat="1" x14ac:dyDescent="0.25">
      <c r="A21" s="149">
        <v>0.1</v>
      </c>
      <c r="B21" s="68" t="s">
        <v>319</v>
      </c>
    </row>
  </sheetData>
  <sheetProtection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52"/>
  <sheetViews>
    <sheetView topLeftCell="C11" workbookViewId="0">
      <selection activeCell="E55" sqref="E55"/>
    </sheetView>
  </sheetViews>
  <sheetFormatPr baseColWidth="10" defaultColWidth="9.140625" defaultRowHeight="12" x14ac:dyDescent="0.2"/>
  <cols>
    <col min="1" max="1" width="4.7109375" style="108" bestFit="1" customWidth="1"/>
    <col min="2" max="2" width="72" style="110" bestFit="1" customWidth="1"/>
    <col min="3" max="3" width="55.5703125" style="110" bestFit="1" customWidth="1"/>
    <col min="4" max="4" width="73.140625" style="110" bestFit="1" customWidth="1"/>
    <col min="5" max="5" width="56.7109375" style="110" bestFit="1" customWidth="1"/>
    <col min="6" max="6" width="71.85546875" style="110" bestFit="1" customWidth="1"/>
    <col min="7" max="16384" width="9.140625" style="110"/>
  </cols>
  <sheetData>
    <row r="1" spans="1:6" x14ac:dyDescent="0.2">
      <c r="B1" s="109" t="str">
        <f>IF(Form!H3=5,"V"," ")</f>
        <v xml:space="preserve"> </v>
      </c>
      <c r="C1" s="109" t="str">
        <f>IF(Form!H3=4,"V"," ")</f>
        <v xml:space="preserve"> </v>
      </c>
      <c r="D1" s="109" t="str">
        <f>IF(Form!H3=3,"V"," ")</f>
        <v xml:space="preserve"> </v>
      </c>
      <c r="E1" s="109" t="str">
        <f>IF(Form!H3=2,"V"," ")</f>
        <v xml:space="preserve"> </v>
      </c>
      <c r="F1" s="109" t="str">
        <f>IF(Form!H3=1,"V"," ")</f>
        <v>V</v>
      </c>
    </row>
    <row r="2" spans="1:6" x14ac:dyDescent="0.2">
      <c r="A2" s="111" t="s">
        <v>85</v>
      </c>
      <c r="B2" s="111" t="s">
        <v>84</v>
      </c>
      <c r="C2" s="111" t="s">
        <v>86</v>
      </c>
      <c r="D2" s="111" t="s">
        <v>88</v>
      </c>
      <c r="E2" s="111" t="s">
        <v>89</v>
      </c>
      <c r="F2" s="111" t="s">
        <v>91</v>
      </c>
    </row>
    <row r="3" spans="1:6" ht="7.5" customHeight="1" x14ac:dyDescent="0.2"/>
    <row r="4" spans="1:6" x14ac:dyDescent="0.2">
      <c r="A4" s="112">
        <v>1</v>
      </c>
      <c r="B4" s="113" t="s">
        <v>68</v>
      </c>
      <c r="C4" s="113" t="s">
        <v>87</v>
      </c>
      <c r="D4" s="113" t="s">
        <v>132</v>
      </c>
      <c r="E4" s="113" t="s">
        <v>90</v>
      </c>
      <c r="F4" s="113" t="s">
        <v>186</v>
      </c>
    </row>
    <row r="5" spans="1:6" x14ac:dyDescent="0.2">
      <c r="A5" s="112">
        <v>2</v>
      </c>
      <c r="B5" s="113" t="s">
        <v>41</v>
      </c>
      <c r="C5" s="113" t="s">
        <v>93</v>
      </c>
      <c r="D5" s="113" t="s">
        <v>272</v>
      </c>
      <c r="E5" s="113" t="s">
        <v>94</v>
      </c>
      <c r="F5" s="113" t="s">
        <v>95</v>
      </c>
    </row>
    <row r="6" spans="1:6" x14ac:dyDescent="0.2">
      <c r="A6" s="112">
        <v>3</v>
      </c>
      <c r="B6" s="113" t="s">
        <v>42</v>
      </c>
      <c r="C6" s="113" t="s">
        <v>42</v>
      </c>
      <c r="D6" s="113" t="s">
        <v>133</v>
      </c>
      <c r="E6" s="113" t="s">
        <v>42</v>
      </c>
      <c r="F6" s="113" t="s">
        <v>177</v>
      </c>
    </row>
    <row r="7" spans="1:6" x14ac:dyDescent="0.2">
      <c r="A7" s="112">
        <v>4</v>
      </c>
      <c r="B7" s="113" t="s">
        <v>297</v>
      </c>
      <c r="C7" s="113" t="s">
        <v>298</v>
      </c>
      <c r="D7" s="113" t="s">
        <v>299</v>
      </c>
      <c r="E7" s="113" t="s">
        <v>300</v>
      </c>
      <c r="F7" s="113" t="s">
        <v>301</v>
      </c>
    </row>
    <row r="8" spans="1:6" x14ac:dyDescent="0.2">
      <c r="A8" s="112">
        <v>5</v>
      </c>
      <c r="B8" s="113" t="s">
        <v>96</v>
      </c>
      <c r="C8" s="113" t="s">
        <v>96</v>
      </c>
      <c r="D8" s="113" t="s">
        <v>96</v>
      </c>
      <c r="E8" s="113" t="s">
        <v>96</v>
      </c>
      <c r="F8" s="113" t="s">
        <v>97</v>
      </c>
    </row>
    <row r="9" spans="1:6" x14ac:dyDescent="0.2">
      <c r="A9" s="112">
        <v>6</v>
      </c>
      <c r="B9" s="113" t="s">
        <v>192</v>
      </c>
      <c r="C9" s="113" t="s">
        <v>191</v>
      </c>
      <c r="D9" s="113" t="s">
        <v>134</v>
      </c>
      <c r="E9" s="113" t="s">
        <v>190</v>
      </c>
      <c r="F9" s="113" t="s">
        <v>187</v>
      </c>
    </row>
    <row r="10" spans="1:6" x14ac:dyDescent="0.2">
      <c r="A10" s="112">
        <v>7</v>
      </c>
      <c r="B10" s="113" t="s">
        <v>8</v>
      </c>
      <c r="C10" s="113" t="s">
        <v>8</v>
      </c>
      <c r="D10" s="113" t="s">
        <v>8</v>
      </c>
      <c r="E10" s="113" t="s">
        <v>8</v>
      </c>
      <c r="F10" s="113" t="s">
        <v>8</v>
      </c>
    </row>
    <row r="11" spans="1:6" x14ac:dyDescent="0.2">
      <c r="A11" s="112">
        <v>8</v>
      </c>
      <c r="B11" s="113" t="s">
        <v>9</v>
      </c>
      <c r="C11" s="113" t="s">
        <v>98</v>
      </c>
      <c r="D11" s="113" t="s">
        <v>98</v>
      </c>
      <c r="E11" s="113" t="s">
        <v>98</v>
      </c>
      <c r="F11" s="113" t="s">
        <v>98</v>
      </c>
    </row>
    <row r="12" spans="1:6" x14ac:dyDescent="0.2">
      <c r="A12" s="112">
        <v>9</v>
      </c>
      <c r="B12" s="113" t="s">
        <v>81</v>
      </c>
      <c r="C12" s="113" t="s">
        <v>99</v>
      </c>
      <c r="D12" s="113" t="s">
        <v>135</v>
      </c>
      <c r="E12" s="113" t="s">
        <v>110</v>
      </c>
      <c r="F12" s="113" t="s">
        <v>188</v>
      </c>
    </row>
    <row r="13" spans="1:6" x14ac:dyDescent="0.2">
      <c r="A13" s="112">
        <v>10</v>
      </c>
      <c r="B13" s="113" t="s">
        <v>43</v>
      </c>
      <c r="C13" s="113" t="s">
        <v>100</v>
      </c>
      <c r="D13" s="113" t="s">
        <v>136</v>
      </c>
      <c r="E13" s="113" t="s">
        <v>111</v>
      </c>
      <c r="F13" s="113" t="s">
        <v>158</v>
      </c>
    </row>
    <row r="14" spans="1:6" x14ac:dyDescent="0.2">
      <c r="A14" s="112">
        <v>11</v>
      </c>
      <c r="B14" s="113" t="s">
        <v>25</v>
      </c>
      <c r="C14" s="113" t="s">
        <v>101</v>
      </c>
      <c r="D14" s="113" t="s">
        <v>137</v>
      </c>
      <c r="E14" s="113" t="s">
        <v>112</v>
      </c>
      <c r="F14" s="113" t="s">
        <v>159</v>
      </c>
    </row>
    <row r="15" spans="1:6" x14ac:dyDescent="0.2">
      <c r="A15" s="112">
        <v>12</v>
      </c>
      <c r="B15" s="113" t="s">
        <v>38</v>
      </c>
      <c r="C15" s="113" t="s">
        <v>102</v>
      </c>
      <c r="D15" s="113" t="s">
        <v>138</v>
      </c>
      <c r="E15" s="113" t="s">
        <v>118</v>
      </c>
      <c r="F15" s="113" t="s">
        <v>160</v>
      </c>
    </row>
    <row r="16" spans="1:6" x14ac:dyDescent="0.2">
      <c r="A16" s="112">
        <v>13</v>
      </c>
      <c r="B16" s="113" t="s">
        <v>32</v>
      </c>
      <c r="C16" s="113" t="s">
        <v>103</v>
      </c>
      <c r="D16" s="113" t="s">
        <v>139</v>
      </c>
      <c r="E16" s="113" t="s">
        <v>113</v>
      </c>
      <c r="F16" s="113" t="s">
        <v>162</v>
      </c>
    </row>
    <row r="17" spans="1:6" x14ac:dyDescent="0.2">
      <c r="A17" s="112">
        <v>14</v>
      </c>
      <c r="B17" s="113" t="s">
        <v>39</v>
      </c>
      <c r="C17" s="113" t="s">
        <v>104</v>
      </c>
      <c r="D17" s="113" t="s">
        <v>140</v>
      </c>
      <c r="E17" s="113" t="s">
        <v>119</v>
      </c>
      <c r="F17" s="113" t="s">
        <v>161</v>
      </c>
    </row>
    <row r="18" spans="1:6" x14ac:dyDescent="0.2">
      <c r="A18" s="112">
        <v>15</v>
      </c>
      <c r="B18" s="113" t="s">
        <v>69</v>
      </c>
      <c r="C18" s="113" t="s">
        <v>105</v>
      </c>
      <c r="D18" s="113" t="s">
        <v>141</v>
      </c>
      <c r="E18" s="113" t="s">
        <v>114</v>
      </c>
      <c r="F18" s="113" t="s">
        <v>163</v>
      </c>
    </row>
    <row r="19" spans="1:6" x14ac:dyDescent="0.2">
      <c r="A19" s="112">
        <v>16</v>
      </c>
      <c r="B19" s="113" t="s">
        <v>79</v>
      </c>
      <c r="C19" s="113" t="s">
        <v>106</v>
      </c>
      <c r="D19" s="113" t="s">
        <v>142</v>
      </c>
      <c r="E19" s="113" t="s">
        <v>115</v>
      </c>
      <c r="F19" s="113" t="s">
        <v>164</v>
      </c>
    </row>
    <row r="20" spans="1:6" x14ac:dyDescent="0.2">
      <c r="A20" s="112">
        <v>17</v>
      </c>
      <c r="B20" s="113" t="s">
        <v>80</v>
      </c>
      <c r="C20" s="113" t="s">
        <v>107</v>
      </c>
      <c r="D20" s="113" t="s">
        <v>143</v>
      </c>
      <c r="E20" s="113" t="s">
        <v>116</v>
      </c>
      <c r="F20" s="113" t="s">
        <v>165</v>
      </c>
    </row>
    <row r="21" spans="1:6" x14ac:dyDescent="0.2">
      <c r="A21" s="112">
        <v>18</v>
      </c>
      <c r="B21" s="113" t="s">
        <v>46</v>
      </c>
      <c r="C21" s="113" t="s">
        <v>108</v>
      </c>
      <c r="D21" s="113" t="s">
        <v>144</v>
      </c>
      <c r="E21" s="113" t="s">
        <v>117</v>
      </c>
      <c r="F21" s="113" t="s">
        <v>189</v>
      </c>
    </row>
    <row r="22" spans="1:6" x14ac:dyDescent="0.2">
      <c r="A22" s="112">
        <v>19</v>
      </c>
      <c r="B22" s="113" t="s">
        <v>55</v>
      </c>
      <c r="C22" s="113" t="s">
        <v>109</v>
      </c>
      <c r="D22" s="113" t="s">
        <v>145</v>
      </c>
      <c r="E22" s="113" t="s">
        <v>166</v>
      </c>
      <c r="F22" s="113" t="s">
        <v>178</v>
      </c>
    </row>
    <row r="23" spans="1:6" x14ac:dyDescent="0.2">
      <c r="A23" s="112">
        <v>20</v>
      </c>
      <c r="B23" s="113" t="s">
        <v>235</v>
      </c>
      <c r="C23" s="113" t="s">
        <v>173</v>
      </c>
      <c r="D23" s="113" t="s">
        <v>146</v>
      </c>
      <c r="E23" s="113" t="s">
        <v>167</v>
      </c>
      <c r="F23" s="113" t="s">
        <v>179</v>
      </c>
    </row>
    <row r="24" spans="1:6" x14ac:dyDescent="0.2">
      <c r="A24" s="112">
        <v>21</v>
      </c>
      <c r="B24" s="113" t="s">
        <v>236</v>
      </c>
      <c r="C24" s="113" t="s">
        <v>174</v>
      </c>
      <c r="D24" s="113" t="s">
        <v>147</v>
      </c>
      <c r="E24" s="113" t="s">
        <v>168</v>
      </c>
      <c r="F24" s="113" t="s">
        <v>180</v>
      </c>
    </row>
    <row r="25" spans="1:6" x14ac:dyDescent="0.2">
      <c r="A25" s="112">
        <v>22</v>
      </c>
      <c r="B25" s="113" t="s">
        <v>57</v>
      </c>
      <c r="C25" s="113" t="s">
        <v>121</v>
      </c>
      <c r="D25" s="113" t="s">
        <v>148</v>
      </c>
      <c r="E25" s="113" t="s">
        <v>169</v>
      </c>
      <c r="F25" s="113" t="s">
        <v>170</v>
      </c>
    </row>
    <row r="26" spans="1:6" x14ac:dyDescent="0.2">
      <c r="A26" s="112">
        <v>23</v>
      </c>
      <c r="B26" s="113" t="s">
        <v>56</v>
      </c>
      <c r="C26" s="113" t="s">
        <v>122</v>
      </c>
      <c r="D26" s="113" t="s">
        <v>149</v>
      </c>
      <c r="E26" s="113" t="s">
        <v>126</v>
      </c>
      <c r="F26" s="113" t="s">
        <v>181</v>
      </c>
    </row>
    <row r="27" spans="1:6" x14ac:dyDescent="0.2">
      <c r="A27" s="112">
        <v>24</v>
      </c>
      <c r="B27" s="113" t="s">
        <v>44</v>
      </c>
      <c r="C27" s="113" t="s">
        <v>123</v>
      </c>
      <c r="D27" s="113" t="s">
        <v>150</v>
      </c>
      <c r="E27" s="113" t="s">
        <v>127</v>
      </c>
      <c r="F27" s="113" t="s">
        <v>182</v>
      </c>
    </row>
    <row r="28" spans="1:6" x14ac:dyDescent="0.2">
      <c r="A28" s="112">
        <v>25</v>
      </c>
      <c r="B28" s="113" t="s">
        <v>66</v>
      </c>
      <c r="C28" s="113" t="s">
        <v>124</v>
      </c>
      <c r="D28" s="113" t="s">
        <v>151</v>
      </c>
      <c r="E28" s="113" t="s">
        <v>128</v>
      </c>
      <c r="F28" s="113" t="s">
        <v>183</v>
      </c>
    </row>
    <row r="29" spans="1:6" x14ac:dyDescent="0.2">
      <c r="A29" s="112">
        <v>26</v>
      </c>
      <c r="B29" s="113" t="s">
        <v>67</v>
      </c>
      <c r="C29" s="113" t="s">
        <v>125</v>
      </c>
      <c r="D29" s="113" t="s">
        <v>152</v>
      </c>
      <c r="E29" s="113" t="s">
        <v>129</v>
      </c>
      <c r="F29" s="113" t="s">
        <v>184</v>
      </c>
    </row>
    <row r="30" spans="1:6" x14ac:dyDescent="0.2">
      <c r="A30" s="112">
        <v>27</v>
      </c>
      <c r="B30" s="113" t="s">
        <v>175</v>
      </c>
      <c r="C30" s="113" t="s">
        <v>156</v>
      </c>
      <c r="D30" s="113" t="s">
        <v>153</v>
      </c>
      <c r="E30" s="113" t="s">
        <v>130</v>
      </c>
      <c r="F30" s="113" t="s">
        <v>171</v>
      </c>
    </row>
    <row r="31" spans="1:6" x14ac:dyDescent="0.2">
      <c r="A31" s="112">
        <v>28</v>
      </c>
      <c r="B31" s="113" t="s">
        <v>176</v>
      </c>
      <c r="C31" s="113" t="s">
        <v>157</v>
      </c>
      <c r="D31" s="113" t="s">
        <v>154</v>
      </c>
      <c r="E31" s="113" t="s">
        <v>131</v>
      </c>
      <c r="F31" s="113" t="s">
        <v>172</v>
      </c>
    </row>
    <row r="32" spans="1:6" x14ac:dyDescent="0.2">
      <c r="A32" s="112">
        <v>29</v>
      </c>
      <c r="B32" s="113" t="s">
        <v>303</v>
      </c>
      <c r="C32" s="113" t="s">
        <v>306</v>
      </c>
      <c r="D32" s="113" t="s">
        <v>155</v>
      </c>
      <c r="E32" s="113" t="s">
        <v>307</v>
      </c>
      <c r="F32" s="113" t="s">
        <v>193</v>
      </c>
    </row>
    <row r="33" spans="1:40" x14ac:dyDescent="0.2">
      <c r="A33" s="112">
        <v>30</v>
      </c>
      <c r="B33" s="113" t="s">
        <v>304</v>
      </c>
      <c r="C33" s="113" t="s">
        <v>305</v>
      </c>
      <c r="D33" s="113" t="s">
        <v>273</v>
      </c>
      <c r="E33" s="113" t="s">
        <v>308</v>
      </c>
      <c r="F33" s="113" t="s">
        <v>185</v>
      </c>
    </row>
    <row r="34" spans="1:40" x14ac:dyDescent="0.2">
      <c r="A34" s="112">
        <v>31</v>
      </c>
      <c r="B34" s="113" t="s">
        <v>204</v>
      </c>
      <c r="C34" s="113" t="s">
        <v>214</v>
      </c>
      <c r="D34" s="114" t="s">
        <v>271</v>
      </c>
      <c r="E34" s="113" t="s">
        <v>213</v>
      </c>
      <c r="F34" s="113" t="s">
        <v>286</v>
      </c>
    </row>
    <row r="35" spans="1:40" x14ac:dyDescent="0.2">
      <c r="A35" s="112">
        <v>32</v>
      </c>
      <c r="B35" s="113" t="s">
        <v>223</v>
      </c>
      <c r="C35" s="113" t="s">
        <v>224</v>
      </c>
      <c r="D35" s="114" t="s">
        <v>270</v>
      </c>
      <c r="E35" s="113" t="s">
        <v>225</v>
      </c>
      <c r="F35" s="113" t="s">
        <v>226</v>
      </c>
    </row>
    <row r="36" spans="1:40" x14ac:dyDescent="0.2">
      <c r="A36" s="115">
        <v>33</v>
      </c>
      <c r="B36" s="114" t="s">
        <v>205</v>
      </c>
      <c r="C36" s="114" t="s">
        <v>209</v>
      </c>
      <c r="D36" s="114" t="s">
        <v>220</v>
      </c>
      <c r="E36" s="114" t="s">
        <v>215</v>
      </c>
      <c r="F36" s="114" t="s">
        <v>227</v>
      </c>
    </row>
    <row r="37" spans="1:40" x14ac:dyDescent="0.2">
      <c r="A37" s="115">
        <v>34</v>
      </c>
      <c r="B37" s="114" t="s">
        <v>208</v>
      </c>
      <c r="C37" s="114" t="s">
        <v>210</v>
      </c>
      <c r="D37" s="114" t="s">
        <v>221</v>
      </c>
      <c r="E37" s="114" t="s">
        <v>216</v>
      </c>
      <c r="F37" s="114" t="s">
        <v>275</v>
      </c>
    </row>
    <row r="38" spans="1:40" x14ac:dyDescent="0.2">
      <c r="A38" s="115">
        <v>35</v>
      </c>
      <c r="B38" s="114" t="s">
        <v>206</v>
      </c>
      <c r="C38" s="114" t="s">
        <v>211</v>
      </c>
      <c r="D38" s="114" t="s">
        <v>222</v>
      </c>
      <c r="E38" s="114" t="s">
        <v>211</v>
      </c>
      <c r="F38" s="114" t="s">
        <v>218</v>
      </c>
    </row>
    <row r="39" spans="1:40" x14ac:dyDescent="0.2">
      <c r="A39" s="115">
        <v>36</v>
      </c>
      <c r="B39" s="114" t="s">
        <v>207</v>
      </c>
      <c r="C39" s="114" t="s">
        <v>212</v>
      </c>
      <c r="D39" s="114" t="s">
        <v>207</v>
      </c>
      <c r="E39" s="114" t="s">
        <v>217</v>
      </c>
      <c r="F39" s="114" t="s">
        <v>219</v>
      </c>
    </row>
    <row r="40" spans="1:40" x14ac:dyDescent="0.2">
      <c r="A40" s="115">
        <v>37</v>
      </c>
      <c r="B40" s="114" t="s">
        <v>276</v>
      </c>
      <c r="C40" s="114" t="s">
        <v>279</v>
      </c>
      <c r="D40" s="114" t="s">
        <v>278</v>
      </c>
      <c r="E40" s="114" t="s">
        <v>284</v>
      </c>
      <c r="F40" s="114" t="s">
        <v>277</v>
      </c>
    </row>
    <row r="41" spans="1:40" x14ac:dyDescent="0.2">
      <c r="A41" s="115">
        <v>38</v>
      </c>
      <c r="B41" s="114" t="s">
        <v>280</v>
      </c>
      <c r="C41" s="114" t="s">
        <v>281</v>
      </c>
      <c r="D41" s="114" t="s">
        <v>283</v>
      </c>
      <c r="E41" s="114" t="s">
        <v>285</v>
      </c>
      <c r="F41" s="114" t="s">
        <v>282</v>
      </c>
    </row>
    <row r="42" spans="1:40" s="141" customFormat="1" x14ac:dyDescent="0.2">
      <c r="A42" s="115">
        <v>39</v>
      </c>
      <c r="B42" s="114" t="s">
        <v>309</v>
      </c>
      <c r="C42" s="114" t="s">
        <v>310</v>
      </c>
      <c r="D42" s="114" t="s">
        <v>316</v>
      </c>
      <c r="E42" s="114" t="s">
        <v>311</v>
      </c>
      <c r="F42" s="114" t="s">
        <v>317</v>
      </c>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row>
    <row r="43" spans="1:40" s="114" customFormat="1" x14ac:dyDescent="0.2">
      <c r="A43" s="115">
        <v>40</v>
      </c>
      <c r="B43" s="114" t="s">
        <v>256</v>
      </c>
      <c r="C43" s="114" t="s">
        <v>355</v>
      </c>
      <c r="D43" s="151" t="s">
        <v>366</v>
      </c>
      <c r="E43" s="114" t="s">
        <v>349</v>
      </c>
      <c r="F43" s="114" t="s">
        <v>340</v>
      </c>
    </row>
    <row r="44" spans="1:40" s="114" customFormat="1" x14ac:dyDescent="0.2">
      <c r="A44" s="115">
        <v>41</v>
      </c>
      <c r="B44" s="114" t="s">
        <v>242</v>
      </c>
      <c r="C44" s="114" t="s">
        <v>363</v>
      </c>
      <c r="D44" s="151" t="s">
        <v>372</v>
      </c>
      <c r="E44" s="114" t="s">
        <v>350</v>
      </c>
      <c r="F44" s="114" t="s">
        <v>341</v>
      </c>
    </row>
    <row r="45" spans="1:40" s="114" customFormat="1" x14ac:dyDescent="0.2">
      <c r="A45" s="115">
        <v>42</v>
      </c>
      <c r="B45" s="114" t="s">
        <v>243</v>
      </c>
      <c r="C45" s="114" t="s">
        <v>358</v>
      </c>
      <c r="D45" s="151" t="s">
        <v>367</v>
      </c>
      <c r="E45" s="114" t="s">
        <v>351</v>
      </c>
      <c r="F45" s="114" t="s">
        <v>342</v>
      </c>
    </row>
    <row r="46" spans="1:40" s="114" customFormat="1" x14ac:dyDescent="0.2">
      <c r="A46" s="115">
        <v>43</v>
      </c>
      <c r="B46" s="114" t="s">
        <v>244</v>
      </c>
      <c r="C46" s="114" t="s">
        <v>360</v>
      </c>
      <c r="D46" s="151" t="s">
        <v>368</v>
      </c>
      <c r="E46" s="114" t="s">
        <v>356</v>
      </c>
      <c r="F46" s="114" t="s">
        <v>343</v>
      </c>
    </row>
    <row r="47" spans="1:40" s="114" customFormat="1" x14ac:dyDescent="0.2">
      <c r="A47" s="115">
        <v>44</v>
      </c>
      <c r="B47" s="114" t="s">
        <v>245</v>
      </c>
      <c r="C47" s="114" t="s">
        <v>362</v>
      </c>
      <c r="D47" s="151" t="s">
        <v>369</v>
      </c>
      <c r="E47" s="114" t="s">
        <v>352</v>
      </c>
      <c r="F47" s="114" t="s">
        <v>344</v>
      </c>
    </row>
    <row r="48" spans="1:40" s="114" customFormat="1" x14ac:dyDescent="0.2">
      <c r="A48" s="115">
        <v>45</v>
      </c>
      <c r="B48" s="114" t="s">
        <v>246</v>
      </c>
      <c r="C48" s="114" t="s">
        <v>364</v>
      </c>
      <c r="D48" s="151" t="s">
        <v>371</v>
      </c>
      <c r="E48" s="114" t="s">
        <v>353</v>
      </c>
      <c r="F48" s="114" t="s">
        <v>345</v>
      </c>
    </row>
    <row r="49" spans="1:40" s="114" customFormat="1" x14ac:dyDescent="0.2">
      <c r="A49" s="115">
        <v>46</v>
      </c>
      <c r="B49" s="114" t="s">
        <v>247</v>
      </c>
      <c r="C49" s="114" t="s">
        <v>359</v>
      </c>
      <c r="D49" s="151" t="s">
        <v>370</v>
      </c>
      <c r="E49" s="114" t="s">
        <v>354</v>
      </c>
      <c r="F49" s="114" t="s">
        <v>346</v>
      </c>
    </row>
    <row r="50" spans="1:40" s="114" customFormat="1" x14ac:dyDescent="0.2">
      <c r="A50" s="115">
        <v>47</v>
      </c>
      <c r="B50" s="114" t="s">
        <v>248</v>
      </c>
      <c r="C50" s="114" t="s">
        <v>361</v>
      </c>
      <c r="D50" s="151" t="s">
        <v>373</v>
      </c>
      <c r="E50" s="114" t="s">
        <v>357</v>
      </c>
      <c r="F50" s="114" t="s">
        <v>347</v>
      </c>
    </row>
    <row r="51" spans="1:40" s="114" customFormat="1" x14ac:dyDescent="0.2">
      <c r="A51" s="115">
        <v>48</v>
      </c>
      <c r="B51" s="114" t="s">
        <v>245</v>
      </c>
      <c r="C51" s="114" t="s">
        <v>362</v>
      </c>
      <c r="D51" s="151" t="s">
        <v>369</v>
      </c>
      <c r="E51" s="114" t="s">
        <v>352</v>
      </c>
      <c r="F51" s="114" t="s">
        <v>348</v>
      </c>
    </row>
    <row r="52" spans="1:40" s="141" customFormat="1" x14ac:dyDescent="0.2">
      <c r="A52" s="115">
        <v>49</v>
      </c>
      <c r="B52" s="114" t="s">
        <v>395</v>
      </c>
      <c r="C52" s="114" t="s">
        <v>396</v>
      </c>
      <c r="D52" s="114" t="s">
        <v>398</v>
      </c>
      <c r="E52" s="114" t="s">
        <v>399</v>
      </c>
      <c r="F52" s="114" t="s">
        <v>397</v>
      </c>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row>
  </sheetData>
  <sheetProtection sheet="1" objects="1" scenarios="1" selectLockedCells="1" selectUnlockedCells="1"/>
  <conditionalFormatting sqref="B1:F1">
    <cfRule type="containsText" dxfId="1" priority="5" operator="containsText" text="V">
      <formula>NOT(ISERROR(SEARCH("V",B1)))</formula>
    </cfRule>
  </conditionalFormatting>
  <conditionalFormatting sqref="E6">
    <cfRule type="containsText" dxfId="0" priority="2" operator="containsText" text="V">
      <formula>NOT(ISERROR(SEARCH("V",E6)))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Form</vt:lpstr>
      <vt:lpstr>Modules</vt:lpstr>
      <vt:lpstr>Regulator</vt:lpstr>
      <vt:lpstr>Calculation table</vt:lpstr>
      <vt:lpstr>Version</vt:lpstr>
      <vt:lpstr>Language</vt:lpstr>
      <vt:lpstr>Form!Zone_d_impression</vt:lpstr>
    </vt:vector>
  </TitlesOfParts>
  <Company>Victron Energy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 MPPT Calc</dc:title>
  <dc:subject>Calculation tool</dc:subject>
  <dc:creator>B Hopman</dc:creator>
  <dc:description>Version 1.5</dc:description>
  <cp:lastModifiedBy>MyShop</cp:lastModifiedBy>
  <cp:revision>1</cp:revision>
  <cp:lastPrinted>2014-04-30T13:11:05Z</cp:lastPrinted>
  <dcterms:created xsi:type="dcterms:W3CDTF">2014-03-13T06:46:09Z</dcterms:created>
  <dcterms:modified xsi:type="dcterms:W3CDTF">2018-05-16T14:30:25Z</dcterms:modified>
  <cp:version>1.5</cp:version>
</cp:coreProperties>
</file>